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Pacho\Desktop\DERECHOS PECUNIARIOS\"/>
    </mc:Choice>
  </mc:AlternateContent>
  <xr:revisionPtr revIDLastSave="0" documentId="13_ncr:1_{D4FA2D41-1C49-4230-96F0-DF0E0816799B}" xr6:coauthVersionLast="47" xr6:coauthVersionMax="47" xr10:uidLastSave="{00000000-0000-0000-0000-000000000000}"/>
  <bookViews>
    <workbookView xWindow="-120" yWindow="-120" windowWidth="20730" windowHeight="11160" tabRatio="795" xr2:uid="{00000000-000D-0000-FFFF-FFFF00000000}"/>
  </bookViews>
  <sheets>
    <sheet name="Contenido" sheetId="15" r:id="rId1"/>
    <sheet name="Valor de los proyectos 2022" sheetId="17" r:id="rId2"/>
    <sheet name="Presupuesto 2022" sheetId="13" r:id="rId3"/>
    <sheet name="Valores matrículas 2021 - 2022" sheetId="11" r:id="rId4"/>
    <sheet name="Otros conceptos 2021 - 2022" sheetId="8" r:id="rId5"/>
  </sheets>
  <externalReferences>
    <externalReference r:id="rId6"/>
  </externalReferences>
  <definedNames>
    <definedName name="_xlnm._FilterDatabase" localSheetId="3" hidden="1">'Valores matrículas 2021 - 2022'!$A$9:$AA$325</definedName>
    <definedName name="base">#REF!</definedName>
    <definedName name="BASEDS">'[1]D-S'!$A$1:$C$242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2" i="17" l="1"/>
  <c r="K94" i="17"/>
  <c r="K87" i="17"/>
  <c r="K86" i="17" s="1"/>
  <c r="K84" i="17"/>
  <c r="K80" i="17"/>
  <c r="K75" i="17" s="1"/>
  <c r="K78" i="17"/>
  <c r="K72" i="17"/>
  <c r="K61" i="17" s="1"/>
  <c r="K56" i="17"/>
  <c r="K50" i="17"/>
  <c r="K46" i="17"/>
  <c r="K45" i="17"/>
  <c r="K42" i="17"/>
  <c r="K41" i="17"/>
  <c r="K40" i="17"/>
  <c r="K29" i="17"/>
  <c r="K28" i="17"/>
  <c r="K21" i="17"/>
  <c r="K20" i="17" s="1"/>
  <c r="K96" i="17" l="1"/>
  <c r="P11" i="11"/>
  <c r="Q11" i="11" s="1"/>
  <c r="R11" i="11" s="1"/>
  <c r="O11" i="11"/>
  <c r="P93" i="11" l="1"/>
  <c r="Q93" i="11" s="1"/>
  <c r="R93" i="11" s="1"/>
  <c r="O93" i="11"/>
  <c r="F93" i="11"/>
  <c r="J93" i="11" s="1"/>
  <c r="S11" i="11"/>
  <c r="D88" i="11"/>
  <c r="F11" i="11"/>
  <c r="H93" i="11" l="1"/>
  <c r="H11" i="11"/>
  <c r="B117" i="13"/>
  <c r="B115" i="13"/>
  <c r="B113" i="13"/>
  <c r="B111" i="13"/>
  <c r="B107" i="13"/>
  <c r="B104" i="13"/>
  <c r="B102" i="13"/>
  <c r="B97" i="13"/>
  <c r="B94" i="13"/>
  <c r="B81" i="13"/>
  <c r="B75" i="13"/>
  <c r="B73" i="13"/>
  <c r="B66" i="13"/>
  <c r="B48" i="13"/>
  <c r="B44" i="13"/>
  <c r="B42" i="13"/>
  <c r="B40" i="13"/>
  <c r="B24" i="13"/>
  <c r="B22" i="13"/>
  <c r="B17" i="13"/>
  <c r="B10" i="13"/>
  <c r="B134" i="13"/>
  <c r="B132" i="13"/>
  <c r="B130" i="13"/>
  <c r="B123" i="13"/>
  <c r="B120" i="13"/>
  <c r="B145" i="13" s="1"/>
  <c r="B129" i="13" l="1"/>
  <c r="B146" i="13"/>
  <c r="B147" i="13" s="1"/>
  <c r="B47" i="13"/>
  <c r="B119" i="13"/>
  <c r="B140" i="13" s="1"/>
  <c r="B9" i="13"/>
  <c r="D24" i="8" l="1"/>
  <c r="D23" i="8"/>
  <c r="D19" i="8"/>
  <c r="D18" i="8"/>
  <c r="D17" i="8"/>
  <c r="D16" i="8"/>
  <c r="D15" i="8"/>
  <c r="D13" i="8"/>
  <c r="D12" i="8"/>
  <c r="D11" i="8"/>
  <c r="D10" i="8"/>
  <c r="D9" i="8"/>
  <c r="D8" i="8"/>
  <c r="D7" i="8"/>
  <c r="D6" i="8"/>
  <c r="D5" i="8"/>
  <c r="D4" i="8"/>
  <c r="S321" i="11" l="1"/>
  <c r="T321" i="11" s="1"/>
  <c r="U321" i="11" s="1"/>
  <c r="P321" i="11"/>
  <c r="Q321" i="11" s="1"/>
  <c r="R321" i="11" s="1"/>
  <c r="S319" i="11"/>
  <c r="T319" i="11" s="1"/>
  <c r="U319" i="11" s="1"/>
  <c r="P319" i="11"/>
  <c r="Q319" i="11" s="1"/>
  <c r="R319" i="11" s="1"/>
  <c r="S317" i="11"/>
  <c r="T317" i="11" s="1"/>
  <c r="U317" i="11" s="1"/>
  <c r="P317" i="11"/>
  <c r="Q317" i="11" s="1"/>
  <c r="R317" i="11" s="1"/>
  <c r="S316" i="11"/>
  <c r="T316" i="11" s="1"/>
  <c r="U316" i="11" s="1"/>
  <c r="P316" i="11"/>
  <c r="Q316" i="11" s="1"/>
  <c r="R316" i="11" s="1"/>
  <c r="S315" i="11"/>
  <c r="T315" i="11" s="1"/>
  <c r="U315" i="11" s="1"/>
  <c r="P315" i="11"/>
  <c r="Q315" i="11" s="1"/>
  <c r="R315" i="11" s="1"/>
  <c r="S314" i="11"/>
  <c r="T314" i="11" s="1"/>
  <c r="U314" i="11" s="1"/>
  <c r="P314" i="11"/>
  <c r="Q314" i="11" s="1"/>
  <c r="R314" i="11" s="1"/>
  <c r="S312" i="11"/>
  <c r="T312" i="11" s="1"/>
  <c r="U312" i="11" s="1"/>
  <c r="P312" i="11"/>
  <c r="Q312" i="11" s="1"/>
  <c r="R312" i="11" s="1"/>
  <c r="S311" i="11"/>
  <c r="T311" i="11" s="1"/>
  <c r="U311" i="11" s="1"/>
  <c r="P311" i="11"/>
  <c r="Q311" i="11" s="1"/>
  <c r="R311" i="11" s="1"/>
  <c r="S310" i="11"/>
  <c r="T310" i="11" s="1"/>
  <c r="U310" i="11" s="1"/>
  <c r="P310" i="11"/>
  <c r="Q310" i="11" s="1"/>
  <c r="R310" i="11" s="1"/>
  <c r="S309" i="11"/>
  <c r="T309" i="11" s="1"/>
  <c r="U309" i="11" s="1"/>
  <c r="P309" i="11"/>
  <c r="Q309" i="11" s="1"/>
  <c r="R309" i="11" s="1"/>
  <c r="S307" i="11"/>
  <c r="T307" i="11" s="1"/>
  <c r="U307" i="11" s="1"/>
  <c r="P307" i="11"/>
  <c r="Q307" i="11" s="1"/>
  <c r="R307" i="11" s="1"/>
  <c r="S306" i="11"/>
  <c r="T306" i="11" s="1"/>
  <c r="U306" i="11" s="1"/>
  <c r="P306" i="11"/>
  <c r="Q306" i="11" s="1"/>
  <c r="R306" i="11" s="1"/>
  <c r="S305" i="11"/>
  <c r="T305" i="11" s="1"/>
  <c r="U305" i="11" s="1"/>
  <c r="P305" i="11"/>
  <c r="Q305" i="11" s="1"/>
  <c r="R305" i="11" s="1"/>
  <c r="S304" i="11"/>
  <c r="T304" i="11" s="1"/>
  <c r="U304" i="11" s="1"/>
  <c r="P304" i="11"/>
  <c r="Q304" i="11" s="1"/>
  <c r="R304" i="11" s="1"/>
  <c r="S303" i="11"/>
  <c r="T303" i="11" s="1"/>
  <c r="U303" i="11" s="1"/>
  <c r="P303" i="11"/>
  <c r="Q303" i="11" s="1"/>
  <c r="R303" i="11" s="1"/>
  <c r="S302" i="11"/>
  <c r="T302" i="11" s="1"/>
  <c r="U302" i="11" s="1"/>
  <c r="P302" i="11"/>
  <c r="Q302" i="11" s="1"/>
  <c r="R302" i="11" s="1"/>
  <c r="S301" i="11"/>
  <c r="T301" i="11" s="1"/>
  <c r="U301" i="11" s="1"/>
  <c r="P301" i="11"/>
  <c r="Q301" i="11" s="1"/>
  <c r="R301" i="11" s="1"/>
  <c r="S300" i="11"/>
  <c r="T300" i="11" s="1"/>
  <c r="U300" i="11" s="1"/>
  <c r="P300" i="11"/>
  <c r="Q300" i="11" s="1"/>
  <c r="R300" i="11" s="1"/>
  <c r="S299" i="11"/>
  <c r="T299" i="11" s="1"/>
  <c r="U299" i="11" s="1"/>
  <c r="P299" i="11"/>
  <c r="Q299" i="11" s="1"/>
  <c r="R299" i="11" s="1"/>
  <c r="S298" i="11"/>
  <c r="T298" i="11" s="1"/>
  <c r="U298" i="11" s="1"/>
  <c r="P298" i="11"/>
  <c r="Q298" i="11" s="1"/>
  <c r="R298" i="11" s="1"/>
  <c r="S296" i="11"/>
  <c r="T296" i="11" s="1"/>
  <c r="U296" i="11" s="1"/>
  <c r="P296" i="11"/>
  <c r="Q296" i="11" s="1"/>
  <c r="R296" i="11" s="1"/>
  <c r="S295" i="11"/>
  <c r="T295" i="11" s="1"/>
  <c r="U295" i="11" s="1"/>
  <c r="P295" i="11"/>
  <c r="Q295" i="11" s="1"/>
  <c r="R295" i="11" s="1"/>
  <c r="S294" i="11"/>
  <c r="T294" i="11" s="1"/>
  <c r="U294" i="11" s="1"/>
  <c r="P294" i="11"/>
  <c r="Q294" i="11" s="1"/>
  <c r="R294" i="11" s="1"/>
  <c r="S293" i="11"/>
  <c r="T293" i="11" s="1"/>
  <c r="U293" i="11" s="1"/>
  <c r="P293" i="11"/>
  <c r="Q293" i="11" s="1"/>
  <c r="R293" i="11" s="1"/>
  <c r="S291" i="11"/>
  <c r="T291" i="11" s="1"/>
  <c r="U291" i="11" s="1"/>
  <c r="P291" i="11"/>
  <c r="Q291" i="11" s="1"/>
  <c r="R291" i="11" s="1"/>
  <c r="S290" i="11"/>
  <c r="T290" i="11" s="1"/>
  <c r="U290" i="11" s="1"/>
  <c r="P290" i="11"/>
  <c r="Q290" i="11" s="1"/>
  <c r="R290" i="11" s="1"/>
  <c r="S289" i="11"/>
  <c r="T289" i="11" s="1"/>
  <c r="U289" i="11" s="1"/>
  <c r="P289" i="11"/>
  <c r="Q289" i="11" s="1"/>
  <c r="R289" i="11" s="1"/>
  <c r="S288" i="11"/>
  <c r="T288" i="11" s="1"/>
  <c r="U288" i="11" s="1"/>
  <c r="P288" i="11"/>
  <c r="Q288" i="11" s="1"/>
  <c r="R288" i="11" s="1"/>
  <c r="S287" i="11"/>
  <c r="T287" i="11" s="1"/>
  <c r="U287" i="11" s="1"/>
  <c r="P287" i="11"/>
  <c r="Q287" i="11" s="1"/>
  <c r="R287" i="11" s="1"/>
  <c r="S286" i="11"/>
  <c r="T286" i="11" s="1"/>
  <c r="U286" i="11" s="1"/>
  <c r="P286" i="11"/>
  <c r="Q286" i="11" s="1"/>
  <c r="R286" i="11" s="1"/>
  <c r="S285" i="11"/>
  <c r="T285" i="11" s="1"/>
  <c r="U285" i="11" s="1"/>
  <c r="P285" i="11"/>
  <c r="Q285" i="11" s="1"/>
  <c r="R285" i="11" s="1"/>
  <c r="S283" i="11"/>
  <c r="T283" i="11" s="1"/>
  <c r="U283" i="11" s="1"/>
  <c r="P283" i="11"/>
  <c r="Q283" i="11" s="1"/>
  <c r="R283" i="11" s="1"/>
  <c r="S282" i="11"/>
  <c r="T282" i="11" s="1"/>
  <c r="U282" i="11" s="1"/>
  <c r="P282" i="11"/>
  <c r="Q282" i="11" s="1"/>
  <c r="R282" i="11" s="1"/>
  <c r="S281" i="11"/>
  <c r="T281" i="11" s="1"/>
  <c r="U281" i="11" s="1"/>
  <c r="P281" i="11"/>
  <c r="Q281" i="11" s="1"/>
  <c r="R281" i="11" s="1"/>
  <c r="S280" i="11"/>
  <c r="T280" i="11" s="1"/>
  <c r="U280" i="11" s="1"/>
  <c r="P280" i="11"/>
  <c r="Q280" i="11" s="1"/>
  <c r="R280" i="11" s="1"/>
  <c r="S278" i="11"/>
  <c r="T278" i="11" s="1"/>
  <c r="U278" i="11" s="1"/>
  <c r="P278" i="11"/>
  <c r="Q278" i="11" s="1"/>
  <c r="R278" i="11" s="1"/>
  <c r="S277" i="11"/>
  <c r="T277" i="11" s="1"/>
  <c r="U277" i="11" s="1"/>
  <c r="P277" i="11"/>
  <c r="Q277" i="11" s="1"/>
  <c r="R277" i="11" s="1"/>
  <c r="S276" i="11"/>
  <c r="T276" i="11" s="1"/>
  <c r="U276" i="11" s="1"/>
  <c r="P276" i="11"/>
  <c r="Q276" i="11" s="1"/>
  <c r="R276" i="11" s="1"/>
  <c r="S275" i="11"/>
  <c r="T275" i="11" s="1"/>
  <c r="U275" i="11" s="1"/>
  <c r="P275" i="11"/>
  <c r="Q275" i="11" s="1"/>
  <c r="R275" i="11" s="1"/>
  <c r="S274" i="11"/>
  <c r="T274" i="11" s="1"/>
  <c r="U274" i="11" s="1"/>
  <c r="P274" i="11"/>
  <c r="Q274" i="11" s="1"/>
  <c r="R274" i="11" s="1"/>
  <c r="S273" i="11"/>
  <c r="T273" i="11" s="1"/>
  <c r="U273" i="11" s="1"/>
  <c r="P273" i="11"/>
  <c r="Q273" i="11" s="1"/>
  <c r="R273" i="11" s="1"/>
  <c r="S272" i="11"/>
  <c r="T272" i="11" s="1"/>
  <c r="U272" i="11" s="1"/>
  <c r="P272" i="11"/>
  <c r="Q272" i="11" s="1"/>
  <c r="R272" i="11" s="1"/>
  <c r="S271" i="11"/>
  <c r="T271" i="11" s="1"/>
  <c r="U271" i="11" s="1"/>
  <c r="P271" i="11"/>
  <c r="Q271" i="11" s="1"/>
  <c r="R271" i="11" s="1"/>
  <c r="S270" i="11"/>
  <c r="T270" i="11" s="1"/>
  <c r="U270" i="11" s="1"/>
  <c r="P270" i="11"/>
  <c r="Q270" i="11" s="1"/>
  <c r="R270" i="11" s="1"/>
  <c r="S269" i="11"/>
  <c r="T269" i="11" s="1"/>
  <c r="U269" i="11" s="1"/>
  <c r="P269" i="11"/>
  <c r="Q269" i="11" s="1"/>
  <c r="R269" i="11" s="1"/>
  <c r="S268" i="11"/>
  <c r="T268" i="11" s="1"/>
  <c r="U268" i="11" s="1"/>
  <c r="P268" i="11"/>
  <c r="Q268" i="11" s="1"/>
  <c r="R268" i="11" s="1"/>
  <c r="S267" i="11"/>
  <c r="T267" i="11" s="1"/>
  <c r="U267" i="11" s="1"/>
  <c r="P267" i="11"/>
  <c r="Q267" i="11" s="1"/>
  <c r="R267" i="11" s="1"/>
  <c r="S266" i="11"/>
  <c r="T266" i="11" s="1"/>
  <c r="U266" i="11" s="1"/>
  <c r="P266" i="11"/>
  <c r="Q266" i="11" s="1"/>
  <c r="R266" i="11" s="1"/>
  <c r="S265" i="11"/>
  <c r="T265" i="11" s="1"/>
  <c r="U265" i="11" s="1"/>
  <c r="P265" i="11"/>
  <c r="Q265" i="11" s="1"/>
  <c r="R265" i="11" s="1"/>
  <c r="S264" i="11"/>
  <c r="T264" i="11" s="1"/>
  <c r="U264" i="11" s="1"/>
  <c r="P264" i="11"/>
  <c r="Q264" i="11" s="1"/>
  <c r="R264" i="11" s="1"/>
  <c r="S263" i="11"/>
  <c r="T263" i="11" s="1"/>
  <c r="U263" i="11" s="1"/>
  <c r="P263" i="11"/>
  <c r="Q263" i="11" s="1"/>
  <c r="R263" i="11" s="1"/>
  <c r="S262" i="11"/>
  <c r="T262" i="11" s="1"/>
  <c r="U262" i="11" s="1"/>
  <c r="P262" i="11"/>
  <c r="Q262" i="11" s="1"/>
  <c r="R262" i="11" s="1"/>
  <c r="S261" i="11"/>
  <c r="T261" i="11" s="1"/>
  <c r="U261" i="11" s="1"/>
  <c r="P261" i="11"/>
  <c r="Q261" i="11" s="1"/>
  <c r="R261" i="11" s="1"/>
  <c r="S260" i="11"/>
  <c r="T260" i="11" s="1"/>
  <c r="U260" i="11" s="1"/>
  <c r="P260" i="11"/>
  <c r="Q260" i="11" s="1"/>
  <c r="R260" i="11" s="1"/>
  <c r="S259" i="11"/>
  <c r="T259" i="11" s="1"/>
  <c r="U259" i="11" s="1"/>
  <c r="P259" i="11"/>
  <c r="Q259" i="11" s="1"/>
  <c r="R259" i="11" s="1"/>
  <c r="S258" i="11"/>
  <c r="T258" i="11" s="1"/>
  <c r="U258" i="11" s="1"/>
  <c r="P258" i="11"/>
  <c r="Q258" i="11" s="1"/>
  <c r="R258" i="11" s="1"/>
  <c r="S257" i="11"/>
  <c r="T257" i="11" s="1"/>
  <c r="U257" i="11" s="1"/>
  <c r="P257" i="11"/>
  <c r="Q257" i="11" s="1"/>
  <c r="R257" i="11" s="1"/>
  <c r="S256" i="11"/>
  <c r="T256" i="11" s="1"/>
  <c r="U256" i="11" s="1"/>
  <c r="P256" i="11"/>
  <c r="Q256" i="11" s="1"/>
  <c r="R256" i="11" s="1"/>
  <c r="S255" i="11"/>
  <c r="T255" i="11" s="1"/>
  <c r="U255" i="11" s="1"/>
  <c r="P255" i="11"/>
  <c r="Q255" i="11" s="1"/>
  <c r="R255" i="11" s="1"/>
  <c r="S254" i="11"/>
  <c r="T254" i="11" s="1"/>
  <c r="U254" i="11" s="1"/>
  <c r="P254" i="11"/>
  <c r="Q254" i="11" s="1"/>
  <c r="R254" i="11" s="1"/>
  <c r="S253" i="11"/>
  <c r="T253" i="11" s="1"/>
  <c r="U253" i="11" s="1"/>
  <c r="P253" i="11"/>
  <c r="Q253" i="11" s="1"/>
  <c r="R253" i="11" s="1"/>
  <c r="S252" i="11"/>
  <c r="T252" i="11" s="1"/>
  <c r="U252" i="11" s="1"/>
  <c r="P252" i="11"/>
  <c r="Q252" i="11" s="1"/>
  <c r="R252" i="11" s="1"/>
  <c r="S251" i="11"/>
  <c r="T251" i="11" s="1"/>
  <c r="U251" i="11" s="1"/>
  <c r="P251" i="11"/>
  <c r="Q251" i="11" s="1"/>
  <c r="R251" i="11" s="1"/>
  <c r="S250" i="11"/>
  <c r="T250" i="11" s="1"/>
  <c r="U250" i="11" s="1"/>
  <c r="P250" i="11"/>
  <c r="Q250" i="11" s="1"/>
  <c r="R250" i="11" s="1"/>
  <c r="S249" i="11"/>
  <c r="T249" i="11" s="1"/>
  <c r="U249" i="11" s="1"/>
  <c r="P249" i="11"/>
  <c r="Q249" i="11" s="1"/>
  <c r="R249" i="11" s="1"/>
  <c r="S248" i="11"/>
  <c r="T248" i="11" s="1"/>
  <c r="U248" i="11" s="1"/>
  <c r="P248" i="11"/>
  <c r="Q248" i="11" s="1"/>
  <c r="R248" i="11" s="1"/>
  <c r="S247" i="11"/>
  <c r="T247" i="11" s="1"/>
  <c r="U247" i="11" s="1"/>
  <c r="P247" i="11"/>
  <c r="Q247" i="11" s="1"/>
  <c r="R247" i="11" s="1"/>
  <c r="S246" i="11"/>
  <c r="T246" i="11" s="1"/>
  <c r="U246" i="11" s="1"/>
  <c r="P246" i="11"/>
  <c r="Q246" i="11" s="1"/>
  <c r="R246" i="11" s="1"/>
  <c r="S245" i="11"/>
  <c r="T245" i="11" s="1"/>
  <c r="U245" i="11" s="1"/>
  <c r="P245" i="11"/>
  <c r="Q245" i="11" s="1"/>
  <c r="R245" i="11" s="1"/>
  <c r="S244" i="11"/>
  <c r="T244" i="11" s="1"/>
  <c r="U244" i="11" s="1"/>
  <c r="P244" i="11"/>
  <c r="Q244" i="11" s="1"/>
  <c r="R244" i="11" s="1"/>
  <c r="S243" i="11"/>
  <c r="T243" i="11" s="1"/>
  <c r="U243" i="11" s="1"/>
  <c r="P243" i="11"/>
  <c r="Q243" i="11" s="1"/>
  <c r="R243" i="11" s="1"/>
  <c r="S242" i="11"/>
  <c r="T242" i="11" s="1"/>
  <c r="U242" i="11" s="1"/>
  <c r="P242" i="11"/>
  <c r="Q242" i="11" s="1"/>
  <c r="R242" i="11" s="1"/>
  <c r="S241" i="11"/>
  <c r="T241" i="11" s="1"/>
  <c r="U241" i="11" s="1"/>
  <c r="P241" i="11"/>
  <c r="Q241" i="11" s="1"/>
  <c r="R241" i="11" s="1"/>
  <c r="S240" i="11"/>
  <c r="T240" i="11" s="1"/>
  <c r="U240" i="11" s="1"/>
  <c r="P240" i="11"/>
  <c r="Q240" i="11" s="1"/>
  <c r="R240" i="11" s="1"/>
  <c r="S239" i="11"/>
  <c r="T239" i="11" s="1"/>
  <c r="U239" i="11" s="1"/>
  <c r="P239" i="11"/>
  <c r="Q239" i="11" s="1"/>
  <c r="R239" i="11" s="1"/>
  <c r="S238" i="11"/>
  <c r="T238" i="11" s="1"/>
  <c r="U238" i="11" s="1"/>
  <c r="P238" i="11"/>
  <c r="Q238" i="11" s="1"/>
  <c r="R238" i="11" s="1"/>
  <c r="S237" i="11"/>
  <c r="T237" i="11" s="1"/>
  <c r="U237" i="11" s="1"/>
  <c r="P237" i="11"/>
  <c r="Q237" i="11" s="1"/>
  <c r="R237" i="11" s="1"/>
  <c r="S236" i="11"/>
  <c r="T236" i="11" s="1"/>
  <c r="U236" i="11" s="1"/>
  <c r="P236" i="11"/>
  <c r="Q236" i="11" s="1"/>
  <c r="R236" i="11" s="1"/>
  <c r="S235" i="11"/>
  <c r="T235" i="11" s="1"/>
  <c r="U235" i="11" s="1"/>
  <c r="P235" i="11"/>
  <c r="Q235" i="11" s="1"/>
  <c r="R235" i="11" s="1"/>
  <c r="S234" i="11"/>
  <c r="T234" i="11" s="1"/>
  <c r="U234" i="11" s="1"/>
  <c r="P234" i="11"/>
  <c r="Q234" i="11" s="1"/>
  <c r="R234" i="11" s="1"/>
  <c r="S233" i="11"/>
  <c r="T233" i="11" s="1"/>
  <c r="U233" i="11" s="1"/>
  <c r="P233" i="11"/>
  <c r="Q233" i="11" s="1"/>
  <c r="R233" i="11" s="1"/>
  <c r="S232" i="11"/>
  <c r="T232" i="11" s="1"/>
  <c r="U232" i="11" s="1"/>
  <c r="P232" i="11"/>
  <c r="Q232" i="11" s="1"/>
  <c r="R232" i="11" s="1"/>
  <c r="S231" i="11"/>
  <c r="T231" i="11" s="1"/>
  <c r="U231" i="11" s="1"/>
  <c r="P231" i="11"/>
  <c r="Q231" i="11" s="1"/>
  <c r="R231" i="11" s="1"/>
  <c r="S230" i="11"/>
  <c r="T230" i="11" s="1"/>
  <c r="U230" i="11" s="1"/>
  <c r="P230" i="11"/>
  <c r="Q230" i="11" s="1"/>
  <c r="R230" i="11" s="1"/>
  <c r="S229" i="11"/>
  <c r="T229" i="11" s="1"/>
  <c r="U229" i="11" s="1"/>
  <c r="P229" i="11"/>
  <c r="Q229" i="11" s="1"/>
  <c r="R229" i="11" s="1"/>
  <c r="S228" i="11"/>
  <c r="T228" i="11" s="1"/>
  <c r="U228" i="11" s="1"/>
  <c r="P228" i="11"/>
  <c r="Q228" i="11" s="1"/>
  <c r="R228" i="11" s="1"/>
  <c r="S227" i="11"/>
  <c r="T227" i="11" s="1"/>
  <c r="U227" i="11" s="1"/>
  <c r="P227" i="11"/>
  <c r="Q227" i="11" s="1"/>
  <c r="R227" i="11" s="1"/>
  <c r="S226" i="11"/>
  <c r="T226" i="11" s="1"/>
  <c r="U226" i="11" s="1"/>
  <c r="P226" i="11"/>
  <c r="Q226" i="11" s="1"/>
  <c r="R226" i="11" s="1"/>
  <c r="S225" i="11"/>
  <c r="T225" i="11" s="1"/>
  <c r="U225" i="11" s="1"/>
  <c r="P225" i="11"/>
  <c r="Q225" i="11" s="1"/>
  <c r="R225" i="11" s="1"/>
  <c r="S224" i="11"/>
  <c r="T224" i="11" s="1"/>
  <c r="U224" i="11" s="1"/>
  <c r="P224" i="11"/>
  <c r="Q224" i="11" s="1"/>
  <c r="R224" i="11" s="1"/>
  <c r="S223" i="11"/>
  <c r="T223" i="11" s="1"/>
  <c r="U223" i="11" s="1"/>
  <c r="P223" i="11"/>
  <c r="Q223" i="11" s="1"/>
  <c r="R223" i="11" s="1"/>
  <c r="S221" i="11"/>
  <c r="T221" i="11" s="1"/>
  <c r="U221" i="11" s="1"/>
  <c r="P221" i="11"/>
  <c r="Q221" i="11" s="1"/>
  <c r="R221" i="11" s="1"/>
  <c r="S220" i="11"/>
  <c r="T220" i="11" s="1"/>
  <c r="U220" i="11" s="1"/>
  <c r="P220" i="11"/>
  <c r="Q220" i="11" s="1"/>
  <c r="R220" i="11" s="1"/>
  <c r="S219" i="11"/>
  <c r="T219" i="11" s="1"/>
  <c r="U219" i="11" s="1"/>
  <c r="P219" i="11"/>
  <c r="Q219" i="11" s="1"/>
  <c r="R219" i="11" s="1"/>
  <c r="S218" i="11"/>
  <c r="T218" i="11" s="1"/>
  <c r="U218" i="11" s="1"/>
  <c r="P218" i="11"/>
  <c r="Q218" i="11" s="1"/>
  <c r="R218" i="11" s="1"/>
  <c r="S217" i="11"/>
  <c r="T217" i="11" s="1"/>
  <c r="U217" i="11" s="1"/>
  <c r="P217" i="11"/>
  <c r="Q217" i="11" s="1"/>
  <c r="R217" i="11" s="1"/>
  <c r="S216" i="11"/>
  <c r="T216" i="11" s="1"/>
  <c r="U216" i="11" s="1"/>
  <c r="P216" i="11"/>
  <c r="Q216" i="11" s="1"/>
  <c r="R216" i="11" s="1"/>
  <c r="S215" i="11"/>
  <c r="T215" i="11" s="1"/>
  <c r="U215" i="11" s="1"/>
  <c r="P215" i="11"/>
  <c r="Q215" i="11" s="1"/>
  <c r="R215" i="11" s="1"/>
  <c r="S214" i="11"/>
  <c r="T214" i="11" s="1"/>
  <c r="U214" i="11" s="1"/>
  <c r="P214" i="11"/>
  <c r="Q214" i="11" s="1"/>
  <c r="R214" i="11" s="1"/>
  <c r="S213" i="11"/>
  <c r="T213" i="11" s="1"/>
  <c r="U213" i="11" s="1"/>
  <c r="P213" i="11"/>
  <c r="Q213" i="11" s="1"/>
  <c r="R213" i="11" s="1"/>
  <c r="S212" i="11"/>
  <c r="T212" i="11" s="1"/>
  <c r="U212" i="11" s="1"/>
  <c r="P212" i="11"/>
  <c r="Q212" i="11" s="1"/>
  <c r="R212" i="11" s="1"/>
  <c r="S211" i="11"/>
  <c r="T211" i="11" s="1"/>
  <c r="U211" i="11" s="1"/>
  <c r="P211" i="11"/>
  <c r="Q211" i="11" s="1"/>
  <c r="R211" i="11" s="1"/>
  <c r="S210" i="11"/>
  <c r="T210" i="11" s="1"/>
  <c r="U210" i="11" s="1"/>
  <c r="P210" i="11"/>
  <c r="Q210" i="11" s="1"/>
  <c r="R210" i="11" s="1"/>
  <c r="S209" i="11"/>
  <c r="T209" i="11" s="1"/>
  <c r="U209" i="11" s="1"/>
  <c r="P209" i="11"/>
  <c r="Q209" i="11" s="1"/>
  <c r="R209" i="11" s="1"/>
  <c r="S208" i="11"/>
  <c r="T208" i="11" s="1"/>
  <c r="U208" i="11" s="1"/>
  <c r="P208" i="11"/>
  <c r="Q208" i="11" s="1"/>
  <c r="R208" i="11" s="1"/>
  <c r="S207" i="11"/>
  <c r="T207" i="11" s="1"/>
  <c r="U207" i="11" s="1"/>
  <c r="P207" i="11"/>
  <c r="Q207" i="11" s="1"/>
  <c r="R207" i="11" s="1"/>
  <c r="S206" i="11"/>
  <c r="T206" i="11" s="1"/>
  <c r="U206" i="11" s="1"/>
  <c r="P206" i="11"/>
  <c r="Q206" i="11" s="1"/>
  <c r="R206" i="11" s="1"/>
  <c r="S205" i="11"/>
  <c r="T205" i="11" s="1"/>
  <c r="U205" i="11" s="1"/>
  <c r="P205" i="11"/>
  <c r="Q205" i="11" s="1"/>
  <c r="R205" i="11" s="1"/>
  <c r="S204" i="11"/>
  <c r="T204" i="11" s="1"/>
  <c r="U204" i="11" s="1"/>
  <c r="P204" i="11"/>
  <c r="Q204" i="11" s="1"/>
  <c r="R204" i="11" s="1"/>
  <c r="S203" i="11"/>
  <c r="T203" i="11" s="1"/>
  <c r="U203" i="11" s="1"/>
  <c r="P203" i="11"/>
  <c r="Q203" i="11" s="1"/>
  <c r="R203" i="11" s="1"/>
  <c r="S202" i="11"/>
  <c r="T202" i="11" s="1"/>
  <c r="U202" i="11" s="1"/>
  <c r="P202" i="11"/>
  <c r="Q202" i="11" s="1"/>
  <c r="R202" i="11" s="1"/>
  <c r="S200" i="11"/>
  <c r="T200" i="11" s="1"/>
  <c r="U200" i="11" s="1"/>
  <c r="P200" i="11"/>
  <c r="Q200" i="11" s="1"/>
  <c r="R200" i="11" s="1"/>
  <c r="S199" i="11"/>
  <c r="T199" i="11" s="1"/>
  <c r="U199" i="11" s="1"/>
  <c r="P199" i="11"/>
  <c r="Q199" i="11" s="1"/>
  <c r="R199" i="11" s="1"/>
  <c r="S198" i="11"/>
  <c r="T198" i="11" s="1"/>
  <c r="U198" i="11" s="1"/>
  <c r="P198" i="11"/>
  <c r="Q198" i="11" s="1"/>
  <c r="R198" i="11" s="1"/>
  <c r="S197" i="11"/>
  <c r="T197" i="11" s="1"/>
  <c r="U197" i="11" s="1"/>
  <c r="P197" i="11"/>
  <c r="Q197" i="11" s="1"/>
  <c r="R197" i="11" s="1"/>
  <c r="S195" i="11"/>
  <c r="T195" i="11" s="1"/>
  <c r="U195" i="11" s="1"/>
  <c r="P195" i="11"/>
  <c r="Q195" i="11" s="1"/>
  <c r="R195" i="11" s="1"/>
  <c r="S194" i="11"/>
  <c r="T194" i="11" s="1"/>
  <c r="U194" i="11" s="1"/>
  <c r="P194" i="11"/>
  <c r="Q194" i="11" s="1"/>
  <c r="R194" i="11" s="1"/>
  <c r="S193" i="11"/>
  <c r="T193" i="11" s="1"/>
  <c r="U193" i="11" s="1"/>
  <c r="P193" i="11"/>
  <c r="Q193" i="11" s="1"/>
  <c r="R193" i="11" s="1"/>
  <c r="S192" i="11"/>
  <c r="T192" i="11" s="1"/>
  <c r="U192" i="11" s="1"/>
  <c r="P192" i="11"/>
  <c r="Q192" i="11" s="1"/>
  <c r="R192" i="11" s="1"/>
  <c r="S191" i="11"/>
  <c r="T191" i="11" s="1"/>
  <c r="U191" i="11" s="1"/>
  <c r="P191" i="11"/>
  <c r="Q191" i="11" s="1"/>
  <c r="R191" i="11" s="1"/>
  <c r="S190" i="11"/>
  <c r="T190" i="11" s="1"/>
  <c r="U190" i="11" s="1"/>
  <c r="P190" i="11"/>
  <c r="Q190" i="11" s="1"/>
  <c r="R190" i="11" s="1"/>
  <c r="S189" i="11"/>
  <c r="T189" i="11" s="1"/>
  <c r="U189" i="11" s="1"/>
  <c r="P189" i="11"/>
  <c r="Q189" i="11" s="1"/>
  <c r="R189" i="11" s="1"/>
  <c r="S188" i="11"/>
  <c r="T188" i="11" s="1"/>
  <c r="U188" i="11" s="1"/>
  <c r="P188" i="11"/>
  <c r="Q188" i="11" s="1"/>
  <c r="R188" i="11" s="1"/>
  <c r="S186" i="11"/>
  <c r="T186" i="11" s="1"/>
  <c r="U186" i="11" s="1"/>
  <c r="P186" i="11"/>
  <c r="Q186" i="11" s="1"/>
  <c r="R186" i="11" s="1"/>
  <c r="S185" i="11"/>
  <c r="T185" i="11" s="1"/>
  <c r="U185" i="11" s="1"/>
  <c r="P185" i="11"/>
  <c r="Q185" i="11" s="1"/>
  <c r="R185" i="11" s="1"/>
  <c r="S183" i="11"/>
  <c r="T183" i="11" s="1"/>
  <c r="U183" i="11" s="1"/>
  <c r="P183" i="11"/>
  <c r="Q183" i="11" s="1"/>
  <c r="R183" i="11" s="1"/>
  <c r="S182" i="11"/>
  <c r="T182" i="11" s="1"/>
  <c r="U182" i="11" s="1"/>
  <c r="P182" i="11"/>
  <c r="Q182" i="11" s="1"/>
  <c r="R182" i="11" s="1"/>
  <c r="S181" i="11"/>
  <c r="T181" i="11" s="1"/>
  <c r="U181" i="11" s="1"/>
  <c r="P181" i="11"/>
  <c r="Q181" i="11" s="1"/>
  <c r="R181" i="11" s="1"/>
  <c r="S180" i="11"/>
  <c r="T180" i="11" s="1"/>
  <c r="U180" i="11" s="1"/>
  <c r="P180" i="11"/>
  <c r="Q180" i="11" s="1"/>
  <c r="R180" i="11" s="1"/>
  <c r="S179" i="11"/>
  <c r="T179" i="11" s="1"/>
  <c r="U179" i="11" s="1"/>
  <c r="P179" i="11"/>
  <c r="Q179" i="11" s="1"/>
  <c r="R179" i="11" s="1"/>
  <c r="S178" i="11"/>
  <c r="T178" i="11" s="1"/>
  <c r="U178" i="11" s="1"/>
  <c r="P178" i="11"/>
  <c r="Q178" i="11" s="1"/>
  <c r="R178" i="11" s="1"/>
  <c r="S177" i="11"/>
  <c r="T177" i="11" s="1"/>
  <c r="U177" i="11" s="1"/>
  <c r="P177" i="11"/>
  <c r="Q177" i="11" s="1"/>
  <c r="R177" i="11" s="1"/>
  <c r="S176" i="11"/>
  <c r="T176" i="11" s="1"/>
  <c r="U176" i="11" s="1"/>
  <c r="P176" i="11"/>
  <c r="Q176" i="11" s="1"/>
  <c r="R176" i="11" s="1"/>
  <c r="S174" i="11"/>
  <c r="T174" i="11" s="1"/>
  <c r="U174" i="11" s="1"/>
  <c r="P174" i="11"/>
  <c r="Q174" i="11" s="1"/>
  <c r="R174" i="11" s="1"/>
  <c r="S173" i="11"/>
  <c r="T173" i="11" s="1"/>
  <c r="U173" i="11" s="1"/>
  <c r="P173" i="11"/>
  <c r="Q173" i="11" s="1"/>
  <c r="R173" i="11" s="1"/>
  <c r="S172" i="11"/>
  <c r="T172" i="11" s="1"/>
  <c r="U172" i="11" s="1"/>
  <c r="P172" i="11"/>
  <c r="Q172" i="11" s="1"/>
  <c r="R172" i="11" s="1"/>
  <c r="S171" i="11"/>
  <c r="T171" i="11" s="1"/>
  <c r="U171" i="11" s="1"/>
  <c r="P171" i="11"/>
  <c r="Q171" i="11" s="1"/>
  <c r="R171" i="11" s="1"/>
  <c r="S170" i="11"/>
  <c r="T170" i="11" s="1"/>
  <c r="U170" i="11" s="1"/>
  <c r="P170" i="11"/>
  <c r="Q170" i="11" s="1"/>
  <c r="R170" i="11" s="1"/>
  <c r="S169" i="11"/>
  <c r="T169" i="11" s="1"/>
  <c r="U169" i="11" s="1"/>
  <c r="P169" i="11"/>
  <c r="Q169" i="11" s="1"/>
  <c r="R169" i="11" s="1"/>
  <c r="S168" i="11"/>
  <c r="T168" i="11" s="1"/>
  <c r="U168" i="11" s="1"/>
  <c r="P168" i="11"/>
  <c r="Q168" i="11" s="1"/>
  <c r="R168" i="11" s="1"/>
  <c r="S167" i="11"/>
  <c r="T167" i="11" s="1"/>
  <c r="U167" i="11" s="1"/>
  <c r="P167" i="11"/>
  <c r="Q167" i="11" s="1"/>
  <c r="R167" i="11" s="1"/>
  <c r="S166" i="11"/>
  <c r="T166" i="11" s="1"/>
  <c r="U166" i="11" s="1"/>
  <c r="P166" i="11"/>
  <c r="Q166" i="11" s="1"/>
  <c r="R166" i="11" s="1"/>
  <c r="S165" i="11"/>
  <c r="T165" i="11" s="1"/>
  <c r="U165" i="11" s="1"/>
  <c r="P165" i="11"/>
  <c r="Q165" i="11" s="1"/>
  <c r="R165" i="11" s="1"/>
  <c r="S164" i="11"/>
  <c r="T164" i="11" s="1"/>
  <c r="U164" i="11" s="1"/>
  <c r="P164" i="11"/>
  <c r="Q164" i="11" s="1"/>
  <c r="R164" i="11" s="1"/>
  <c r="S163" i="11"/>
  <c r="T163" i="11" s="1"/>
  <c r="U163" i="11" s="1"/>
  <c r="P163" i="11"/>
  <c r="Q163" i="11" s="1"/>
  <c r="R163" i="11" s="1"/>
  <c r="S162" i="11"/>
  <c r="T162" i="11" s="1"/>
  <c r="U162" i="11" s="1"/>
  <c r="P162" i="11"/>
  <c r="Q162" i="11" s="1"/>
  <c r="R162" i="11" s="1"/>
  <c r="S161" i="11"/>
  <c r="T161" i="11" s="1"/>
  <c r="U161" i="11" s="1"/>
  <c r="P161" i="11"/>
  <c r="Q161" i="11" s="1"/>
  <c r="R161" i="11" s="1"/>
  <c r="S160" i="11"/>
  <c r="T160" i="11" s="1"/>
  <c r="U160" i="11" s="1"/>
  <c r="P160" i="11"/>
  <c r="Q160" i="11" s="1"/>
  <c r="R160" i="11" s="1"/>
  <c r="S159" i="11"/>
  <c r="T159" i="11" s="1"/>
  <c r="U159" i="11" s="1"/>
  <c r="P159" i="11"/>
  <c r="Q159" i="11" s="1"/>
  <c r="R159" i="11" s="1"/>
  <c r="S158" i="11"/>
  <c r="T158" i="11" s="1"/>
  <c r="U158" i="11" s="1"/>
  <c r="P158" i="11"/>
  <c r="Q158" i="11" s="1"/>
  <c r="R158" i="11" s="1"/>
  <c r="S157" i="11"/>
  <c r="T157" i="11" s="1"/>
  <c r="U157" i="11" s="1"/>
  <c r="P157" i="11"/>
  <c r="Q157" i="11" s="1"/>
  <c r="R157" i="11" s="1"/>
  <c r="S156" i="11"/>
  <c r="T156" i="11" s="1"/>
  <c r="U156" i="11" s="1"/>
  <c r="P156" i="11"/>
  <c r="Q156" i="11" s="1"/>
  <c r="R156" i="11" s="1"/>
  <c r="S155" i="11"/>
  <c r="T155" i="11" s="1"/>
  <c r="U155" i="11" s="1"/>
  <c r="P155" i="11"/>
  <c r="Q155" i="11" s="1"/>
  <c r="R155" i="11" s="1"/>
  <c r="S154" i="11"/>
  <c r="T154" i="11" s="1"/>
  <c r="U154" i="11" s="1"/>
  <c r="P154" i="11"/>
  <c r="Q154" i="11" s="1"/>
  <c r="R154" i="11" s="1"/>
  <c r="S153" i="11"/>
  <c r="T153" i="11" s="1"/>
  <c r="U153" i="11" s="1"/>
  <c r="P153" i="11"/>
  <c r="Q153" i="11" s="1"/>
  <c r="R153" i="11" s="1"/>
  <c r="S151" i="11"/>
  <c r="T151" i="11" s="1"/>
  <c r="U151" i="11" s="1"/>
  <c r="P151" i="11"/>
  <c r="Q151" i="11" s="1"/>
  <c r="R151" i="11" s="1"/>
  <c r="S150" i="11"/>
  <c r="T150" i="11" s="1"/>
  <c r="U150" i="11" s="1"/>
  <c r="P150" i="11"/>
  <c r="Q150" i="11" s="1"/>
  <c r="R150" i="11" s="1"/>
  <c r="S149" i="11"/>
  <c r="T149" i="11" s="1"/>
  <c r="U149" i="11" s="1"/>
  <c r="P149" i="11"/>
  <c r="Q149" i="11" s="1"/>
  <c r="R149" i="11" s="1"/>
  <c r="S148" i="11"/>
  <c r="T148" i="11" s="1"/>
  <c r="U148" i="11" s="1"/>
  <c r="P148" i="11"/>
  <c r="Q148" i="11" s="1"/>
  <c r="R148" i="11" s="1"/>
  <c r="S147" i="11"/>
  <c r="T147" i="11" s="1"/>
  <c r="U147" i="11" s="1"/>
  <c r="P147" i="11"/>
  <c r="Q147" i="11" s="1"/>
  <c r="R147" i="11" s="1"/>
  <c r="S146" i="11"/>
  <c r="T146" i="11" s="1"/>
  <c r="U146" i="11" s="1"/>
  <c r="P146" i="11"/>
  <c r="Q146" i="11" s="1"/>
  <c r="R146" i="11" s="1"/>
  <c r="S145" i="11"/>
  <c r="T145" i="11" s="1"/>
  <c r="U145" i="11" s="1"/>
  <c r="P145" i="11"/>
  <c r="Q145" i="11" s="1"/>
  <c r="R145" i="11" s="1"/>
  <c r="S144" i="11"/>
  <c r="T144" i="11" s="1"/>
  <c r="U144" i="11" s="1"/>
  <c r="P144" i="11"/>
  <c r="Q144" i="11" s="1"/>
  <c r="R144" i="11" s="1"/>
  <c r="S143" i="11"/>
  <c r="T143" i="11" s="1"/>
  <c r="U143" i="11" s="1"/>
  <c r="P143" i="11"/>
  <c r="Q143" i="11" s="1"/>
  <c r="R143" i="11" s="1"/>
  <c r="S141" i="11"/>
  <c r="T141" i="11" s="1"/>
  <c r="U141" i="11" s="1"/>
  <c r="P141" i="11"/>
  <c r="Q141" i="11" s="1"/>
  <c r="R141" i="11" s="1"/>
  <c r="S140" i="11"/>
  <c r="T140" i="11" s="1"/>
  <c r="U140" i="11" s="1"/>
  <c r="P140" i="11"/>
  <c r="Q140" i="11" s="1"/>
  <c r="R140" i="11" s="1"/>
  <c r="S139" i="11"/>
  <c r="T139" i="11" s="1"/>
  <c r="U139" i="11" s="1"/>
  <c r="P139" i="11"/>
  <c r="Q139" i="11" s="1"/>
  <c r="R139" i="11" s="1"/>
  <c r="S138" i="11"/>
  <c r="T138" i="11" s="1"/>
  <c r="U138" i="11" s="1"/>
  <c r="P138" i="11"/>
  <c r="Q138" i="11" s="1"/>
  <c r="R138" i="11" s="1"/>
  <c r="S137" i="11"/>
  <c r="T137" i="11" s="1"/>
  <c r="U137" i="11" s="1"/>
  <c r="P137" i="11"/>
  <c r="Q137" i="11" s="1"/>
  <c r="R137" i="11" s="1"/>
  <c r="S135" i="11"/>
  <c r="T135" i="11" s="1"/>
  <c r="U135" i="11" s="1"/>
  <c r="P135" i="11"/>
  <c r="Q135" i="11" s="1"/>
  <c r="R135" i="11" s="1"/>
  <c r="S134" i="11"/>
  <c r="T134" i="11" s="1"/>
  <c r="U134" i="11" s="1"/>
  <c r="P134" i="11"/>
  <c r="Q134" i="11" s="1"/>
  <c r="R134" i="11" s="1"/>
  <c r="S133" i="11"/>
  <c r="T133" i="11" s="1"/>
  <c r="U133" i="11" s="1"/>
  <c r="P133" i="11"/>
  <c r="Q133" i="11" s="1"/>
  <c r="R133" i="11" s="1"/>
  <c r="S132" i="11"/>
  <c r="T132" i="11" s="1"/>
  <c r="U132" i="11" s="1"/>
  <c r="P132" i="11"/>
  <c r="Q132" i="11" s="1"/>
  <c r="R132" i="11" s="1"/>
  <c r="S131" i="11"/>
  <c r="T131" i="11" s="1"/>
  <c r="U131" i="11" s="1"/>
  <c r="P131" i="11"/>
  <c r="Q131" i="11" s="1"/>
  <c r="R131" i="11" s="1"/>
  <c r="S130" i="11"/>
  <c r="T130" i="11" s="1"/>
  <c r="U130" i="11" s="1"/>
  <c r="P130" i="11"/>
  <c r="Q130" i="11" s="1"/>
  <c r="R130" i="11" s="1"/>
  <c r="S129" i="11"/>
  <c r="T129" i="11" s="1"/>
  <c r="U129" i="11" s="1"/>
  <c r="P129" i="11"/>
  <c r="Q129" i="11" s="1"/>
  <c r="R129" i="11" s="1"/>
  <c r="S128" i="11"/>
  <c r="T128" i="11" s="1"/>
  <c r="U128" i="11" s="1"/>
  <c r="P128" i="11"/>
  <c r="Q128" i="11" s="1"/>
  <c r="R128" i="11" s="1"/>
  <c r="S127" i="11"/>
  <c r="T127" i="11" s="1"/>
  <c r="U127" i="11" s="1"/>
  <c r="P127" i="11"/>
  <c r="Q127" i="11" s="1"/>
  <c r="R127" i="11" s="1"/>
  <c r="S126" i="11"/>
  <c r="T126" i="11" s="1"/>
  <c r="U126" i="11" s="1"/>
  <c r="P126" i="11"/>
  <c r="Q126" i="11" s="1"/>
  <c r="R126" i="11" s="1"/>
  <c r="S125" i="11"/>
  <c r="T125" i="11" s="1"/>
  <c r="U125" i="11" s="1"/>
  <c r="P125" i="11"/>
  <c r="Q125" i="11" s="1"/>
  <c r="R125" i="11" s="1"/>
  <c r="S124" i="11"/>
  <c r="T124" i="11" s="1"/>
  <c r="U124" i="11" s="1"/>
  <c r="P124" i="11"/>
  <c r="Q124" i="11" s="1"/>
  <c r="R124" i="11" s="1"/>
  <c r="S123" i="11"/>
  <c r="T123" i="11" s="1"/>
  <c r="U123" i="11" s="1"/>
  <c r="P123" i="11"/>
  <c r="Q123" i="11" s="1"/>
  <c r="R123" i="11" s="1"/>
  <c r="S122" i="11"/>
  <c r="T122" i="11" s="1"/>
  <c r="U122" i="11" s="1"/>
  <c r="P122" i="11"/>
  <c r="Q122" i="11" s="1"/>
  <c r="R122" i="11" s="1"/>
  <c r="S121" i="11"/>
  <c r="T121" i="11" s="1"/>
  <c r="U121" i="11" s="1"/>
  <c r="P121" i="11"/>
  <c r="Q121" i="11" s="1"/>
  <c r="R121" i="11" s="1"/>
  <c r="S120" i="11"/>
  <c r="T120" i="11" s="1"/>
  <c r="U120" i="11" s="1"/>
  <c r="P120" i="11"/>
  <c r="Q120" i="11" s="1"/>
  <c r="R120" i="11" s="1"/>
  <c r="S119" i="11"/>
  <c r="T119" i="11" s="1"/>
  <c r="U119" i="11" s="1"/>
  <c r="P119" i="11"/>
  <c r="Q119" i="11" s="1"/>
  <c r="R119" i="11" s="1"/>
  <c r="S118" i="11"/>
  <c r="T118" i="11" s="1"/>
  <c r="U118" i="11" s="1"/>
  <c r="P118" i="11"/>
  <c r="Q118" i="11" s="1"/>
  <c r="R118" i="11" s="1"/>
  <c r="S117" i="11"/>
  <c r="T117" i="11" s="1"/>
  <c r="U117" i="11" s="1"/>
  <c r="P117" i="11"/>
  <c r="Q117" i="11" s="1"/>
  <c r="R117" i="11" s="1"/>
  <c r="S116" i="11"/>
  <c r="T116" i="11" s="1"/>
  <c r="U116" i="11" s="1"/>
  <c r="P116" i="11"/>
  <c r="Q116" i="11" s="1"/>
  <c r="R116" i="11" s="1"/>
  <c r="S115" i="11"/>
  <c r="T115" i="11" s="1"/>
  <c r="U115" i="11" s="1"/>
  <c r="P115" i="11"/>
  <c r="Q115" i="11" s="1"/>
  <c r="R115" i="11" s="1"/>
  <c r="S114" i="11"/>
  <c r="T114" i="11" s="1"/>
  <c r="U114" i="11" s="1"/>
  <c r="P114" i="11"/>
  <c r="Q114" i="11" s="1"/>
  <c r="R114" i="11" s="1"/>
  <c r="S113" i="11"/>
  <c r="T113" i="11" s="1"/>
  <c r="U113" i="11" s="1"/>
  <c r="P113" i="11"/>
  <c r="Q113" i="11" s="1"/>
  <c r="R113" i="11" s="1"/>
  <c r="S112" i="11"/>
  <c r="T112" i="11" s="1"/>
  <c r="U112" i="11" s="1"/>
  <c r="P112" i="11"/>
  <c r="Q112" i="11" s="1"/>
  <c r="R112" i="11" s="1"/>
  <c r="S111" i="11"/>
  <c r="T111" i="11" s="1"/>
  <c r="U111" i="11" s="1"/>
  <c r="P111" i="11"/>
  <c r="Q111" i="11" s="1"/>
  <c r="R111" i="11" s="1"/>
  <c r="S110" i="11"/>
  <c r="T110" i="11" s="1"/>
  <c r="U110" i="11" s="1"/>
  <c r="P110" i="11"/>
  <c r="Q110" i="11" s="1"/>
  <c r="R110" i="11" s="1"/>
  <c r="S109" i="11"/>
  <c r="T109" i="11" s="1"/>
  <c r="U109" i="11" s="1"/>
  <c r="P109" i="11"/>
  <c r="Q109" i="11" s="1"/>
  <c r="R109" i="11" s="1"/>
  <c r="S107" i="11"/>
  <c r="T107" i="11" s="1"/>
  <c r="U107" i="11" s="1"/>
  <c r="P107" i="11"/>
  <c r="Q107" i="11" s="1"/>
  <c r="R107" i="11" s="1"/>
  <c r="S106" i="11"/>
  <c r="T106" i="11" s="1"/>
  <c r="U106" i="11" s="1"/>
  <c r="P106" i="11"/>
  <c r="Q106" i="11" s="1"/>
  <c r="R106" i="11" s="1"/>
  <c r="S105" i="11"/>
  <c r="T105" i="11" s="1"/>
  <c r="U105" i="11" s="1"/>
  <c r="P105" i="11"/>
  <c r="Q105" i="11" s="1"/>
  <c r="R105" i="11" s="1"/>
  <c r="S104" i="11"/>
  <c r="T104" i="11" s="1"/>
  <c r="U104" i="11" s="1"/>
  <c r="P104" i="11"/>
  <c r="Q104" i="11" s="1"/>
  <c r="R104" i="11" s="1"/>
  <c r="S103" i="11"/>
  <c r="T103" i="11" s="1"/>
  <c r="U103" i="11" s="1"/>
  <c r="P103" i="11"/>
  <c r="Q103" i="11" s="1"/>
  <c r="R103" i="11" s="1"/>
  <c r="S102" i="11"/>
  <c r="T102" i="11" s="1"/>
  <c r="U102" i="11" s="1"/>
  <c r="P102" i="11"/>
  <c r="Q102" i="11" s="1"/>
  <c r="R102" i="11" s="1"/>
  <c r="S101" i="11"/>
  <c r="T101" i="11" s="1"/>
  <c r="U101" i="11" s="1"/>
  <c r="P101" i="11"/>
  <c r="Q101" i="11" s="1"/>
  <c r="R101" i="11" s="1"/>
  <c r="S100" i="11"/>
  <c r="T100" i="11" s="1"/>
  <c r="U100" i="11" s="1"/>
  <c r="P100" i="11"/>
  <c r="Q100" i="11" s="1"/>
  <c r="R100" i="11" s="1"/>
  <c r="S99" i="11"/>
  <c r="T99" i="11" s="1"/>
  <c r="U99" i="11" s="1"/>
  <c r="P99" i="11"/>
  <c r="Q99" i="11" s="1"/>
  <c r="R99" i="11" s="1"/>
  <c r="S98" i="11"/>
  <c r="T98" i="11" s="1"/>
  <c r="U98" i="11" s="1"/>
  <c r="P98" i="11"/>
  <c r="Q98" i="11" s="1"/>
  <c r="R98" i="11" s="1"/>
  <c r="S96" i="11"/>
  <c r="T96" i="11" s="1"/>
  <c r="U96" i="11" s="1"/>
  <c r="P96" i="11"/>
  <c r="Q96" i="11" s="1"/>
  <c r="R96" i="11" s="1"/>
  <c r="S95" i="11"/>
  <c r="T95" i="11" s="1"/>
  <c r="U95" i="11" s="1"/>
  <c r="P95" i="11"/>
  <c r="Q95" i="11" s="1"/>
  <c r="R95" i="11" s="1"/>
  <c r="S94" i="11"/>
  <c r="T94" i="11" s="1"/>
  <c r="U94" i="11" s="1"/>
  <c r="P94" i="11"/>
  <c r="Q94" i="11" s="1"/>
  <c r="R94" i="11" s="1"/>
  <c r="S93" i="11"/>
  <c r="T93" i="11" s="1"/>
  <c r="U93" i="11" s="1"/>
  <c r="O321" i="11"/>
  <c r="O319" i="11"/>
  <c r="O317" i="11"/>
  <c r="O316" i="11"/>
  <c r="O315" i="11"/>
  <c r="O314" i="11"/>
  <c r="O312" i="11"/>
  <c r="O311" i="11"/>
  <c r="O310" i="11"/>
  <c r="O309" i="11"/>
  <c r="O307" i="11"/>
  <c r="O306" i="11"/>
  <c r="O305" i="11"/>
  <c r="O304" i="11"/>
  <c r="O303" i="11"/>
  <c r="O302" i="11"/>
  <c r="O301" i="11"/>
  <c r="O300" i="11"/>
  <c r="O299" i="11"/>
  <c r="O298" i="11"/>
  <c r="O296" i="11"/>
  <c r="O295" i="11"/>
  <c r="O294" i="11"/>
  <c r="O293" i="11"/>
  <c r="O291" i="11"/>
  <c r="O290" i="11"/>
  <c r="O289" i="11"/>
  <c r="O288" i="11"/>
  <c r="O287" i="11"/>
  <c r="O286" i="11"/>
  <c r="O285" i="11"/>
  <c r="O283" i="11"/>
  <c r="O282" i="11"/>
  <c r="O281" i="11"/>
  <c r="O280" i="11"/>
  <c r="O278" i="11"/>
  <c r="O277" i="11"/>
  <c r="O276" i="11"/>
  <c r="O275" i="11"/>
  <c r="O274" i="11"/>
  <c r="O273" i="11"/>
  <c r="O272" i="11"/>
  <c r="O271" i="11"/>
  <c r="O270" i="11"/>
  <c r="O269" i="11"/>
  <c r="O268" i="1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O234" i="11"/>
  <c r="O233" i="11"/>
  <c r="O232" i="11"/>
  <c r="O231" i="11"/>
  <c r="O230" i="11"/>
  <c r="O229" i="11"/>
  <c r="O228" i="11"/>
  <c r="O227" i="11"/>
  <c r="O226" i="11"/>
  <c r="O225" i="11"/>
  <c r="O224" i="11"/>
  <c r="O223" i="11"/>
  <c r="O221" i="11"/>
  <c r="O220" i="11"/>
  <c r="O219" i="11"/>
  <c r="O218" i="11"/>
  <c r="O217" i="11"/>
  <c r="O216" i="11"/>
  <c r="O215" i="11"/>
  <c r="O214" i="11"/>
  <c r="O213" i="11"/>
  <c r="O212" i="11"/>
  <c r="O211" i="11"/>
  <c r="O210" i="11"/>
  <c r="O209" i="11"/>
  <c r="O208" i="11"/>
  <c r="O207" i="11"/>
  <c r="O206" i="11"/>
  <c r="O205" i="11"/>
  <c r="O204" i="11"/>
  <c r="O203" i="11"/>
  <c r="O202" i="11"/>
  <c r="O200" i="11"/>
  <c r="O199" i="11"/>
  <c r="O198" i="11"/>
  <c r="O197" i="11"/>
  <c r="O195" i="11"/>
  <c r="O194" i="11"/>
  <c r="O193" i="11"/>
  <c r="O192" i="11"/>
  <c r="O191" i="11"/>
  <c r="O190" i="11"/>
  <c r="O189" i="11"/>
  <c r="O188" i="11"/>
  <c r="O186" i="11"/>
  <c r="O185" i="11"/>
  <c r="O183" i="11"/>
  <c r="O182" i="11"/>
  <c r="O181" i="11"/>
  <c r="O180" i="11"/>
  <c r="O179" i="11"/>
  <c r="O178" i="11"/>
  <c r="O177" i="11"/>
  <c r="O176" i="11"/>
  <c r="O174" i="11"/>
  <c r="O173" i="11"/>
  <c r="O172" i="11"/>
  <c r="O171" i="11"/>
  <c r="O170" i="11"/>
  <c r="O169" i="11"/>
  <c r="O168" i="11"/>
  <c r="O167" i="11"/>
  <c r="O166" i="11"/>
  <c r="O165" i="11"/>
  <c r="O164" i="11"/>
  <c r="O163" i="11"/>
  <c r="O162" i="11"/>
  <c r="O161" i="11"/>
  <c r="O160" i="11"/>
  <c r="O159" i="11"/>
  <c r="O158" i="11"/>
  <c r="O157" i="11"/>
  <c r="O156" i="11"/>
  <c r="O155" i="11"/>
  <c r="O154" i="11"/>
  <c r="O153" i="11"/>
  <c r="O151" i="11"/>
  <c r="O150" i="11"/>
  <c r="O149" i="11"/>
  <c r="O148" i="11"/>
  <c r="O147" i="11"/>
  <c r="O146" i="11"/>
  <c r="O145" i="11"/>
  <c r="O144" i="11"/>
  <c r="O143" i="11"/>
  <c r="O141" i="11"/>
  <c r="O140" i="11"/>
  <c r="O139" i="11"/>
  <c r="O138" i="11"/>
  <c r="O137"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7" i="11"/>
  <c r="O106" i="11"/>
  <c r="O105" i="11"/>
  <c r="O104" i="11"/>
  <c r="O103" i="11"/>
  <c r="O102" i="11"/>
  <c r="O101" i="11"/>
  <c r="O100" i="11"/>
  <c r="O99" i="11"/>
  <c r="O98" i="11"/>
  <c r="O96" i="11"/>
  <c r="O95" i="11"/>
  <c r="O94" i="11"/>
  <c r="V114" i="11" l="1"/>
  <c r="V158" i="11"/>
  <c r="V155" i="11"/>
  <c r="V94" i="11"/>
  <c r="V271" i="11"/>
  <c r="V277" i="11"/>
  <c r="V130" i="11"/>
  <c r="V281" i="11"/>
  <c r="V232" i="11"/>
  <c r="V195" i="11"/>
  <c r="V233" i="11"/>
  <c r="V230" i="11"/>
  <c r="V246" i="11"/>
  <c r="V179" i="11"/>
  <c r="V266" i="11"/>
  <c r="V274" i="11"/>
  <c r="V288" i="11"/>
  <c r="V305" i="11"/>
  <c r="V315" i="11"/>
  <c r="V321" i="11"/>
  <c r="V143" i="11"/>
  <c r="V128" i="11"/>
  <c r="V166" i="11"/>
  <c r="V178" i="11"/>
  <c r="V182" i="11"/>
  <c r="V240" i="11"/>
  <c r="V269" i="11"/>
  <c r="V209" i="11"/>
  <c r="V163" i="11"/>
  <c r="V237" i="11"/>
  <c r="V256" i="11"/>
  <c r="V160" i="11"/>
  <c r="V171" i="11"/>
  <c r="V176" i="11"/>
  <c r="V180" i="11"/>
  <c r="V210" i="11"/>
  <c r="V249" i="11"/>
  <c r="V253" i="11"/>
  <c r="V224" i="11"/>
  <c r="V293" i="11"/>
  <c r="V296" i="11"/>
  <c r="V248" i="11"/>
  <c r="V125" i="11"/>
  <c r="V173" i="11"/>
  <c r="V198" i="11"/>
  <c r="V103" i="11"/>
  <c r="V122" i="11"/>
  <c r="V147" i="11"/>
  <c r="V99" i="11"/>
  <c r="V145" i="11"/>
  <c r="V148" i="11"/>
  <c r="V186" i="11"/>
  <c r="V213" i="11"/>
  <c r="V278" i="11"/>
  <c r="V290" i="11"/>
  <c r="V157" i="11"/>
  <c r="V174" i="11"/>
  <c r="V199" i="11"/>
  <c r="V207" i="11"/>
  <c r="V244" i="11"/>
  <c r="V150" i="11"/>
  <c r="V107" i="11"/>
  <c r="V111" i="11"/>
  <c r="V134" i="11"/>
  <c r="V154" i="11"/>
  <c r="V164" i="11"/>
  <c r="V167" i="11"/>
  <c r="V170" i="11"/>
  <c r="V183" i="11"/>
  <c r="V283" i="11"/>
  <c r="V319" i="11"/>
  <c r="V117" i="11"/>
  <c r="V227" i="11"/>
  <c r="V243" i="11"/>
  <c r="V306" i="11"/>
  <c r="V168" i="11"/>
  <c r="V204" i="11"/>
  <c r="V220" i="11"/>
  <c r="V259" i="11"/>
  <c r="V285" i="11"/>
  <c r="V120" i="11"/>
  <c r="V139" i="11"/>
  <c r="V102" i="11"/>
  <c r="V105" i="11"/>
  <c r="V149" i="11"/>
  <c r="V151" i="11"/>
  <c r="V185" i="11"/>
  <c r="V231" i="11"/>
  <c r="V234" i="11"/>
  <c r="V247" i="11"/>
  <c r="V250" i="11"/>
  <c r="V262" i="11"/>
  <c r="V265" i="11"/>
  <c r="V268" i="11"/>
  <c r="V311" i="11"/>
  <c r="V316" i="11"/>
  <c r="V294" i="11"/>
  <c r="V106" i="11"/>
  <c r="V140" i="11"/>
  <c r="V153" i="11"/>
  <c r="V169" i="11"/>
  <c r="V190" i="11"/>
  <c r="V193" i="11"/>
  <c r="V205" i="11"/>
  <c r="V221" i="11"/>
  <c r="V282" i="11"/>
  <c r="V286" i="11"/>
  <c r="V291" i="11"/>
  <c r="V312" i="11"/>
  <c r="V123" i="11"/>
  <c r="V280" i="11"/>
  <c r="V96" i="11"/>
  <c r="V131" i="11"/>
  <c r="V276" i="11"/>
  <c r="V289" i="11"/>
  <c r="V295" i="11"/>
  <c r="V314" i="11"/>
  <c r="V317" i="11"/>
  <c r="V310" i="11"/>
  <c r="V309" i="11"/>
  <c r="V299" i="11"/>
  <c r="V302" i="11"/>
  <c r="V300" i="11"/>
  <c r="V303" i="11"/>
  <c r="V298" i="11"/>
  <c r="V304" i="11"/>
  <c r="V301" i="11"/>
  <c r="V307" i="11"/>
  <c r="V287" i="11"/>
  <c r="V223" i="11"/>
  <c r="V226" i="11"/>
  <c r="V229" i="11"/>
  <c r="V239" i="11"/>
  <c r="V242" i="11"/>
  <c r="V245" i="11"/>
  <c r="V255" i="11"/>
  <c r="V236" i="11"/>
  <c r="V252" i="11"/>
  <c r="V258" i="11"/>
  <c r="V261" i="11"/>
  <c r="V264" i="11"/>
  <c r="V267" i="11"/>
  <c r="V270" i="11"/>
  <c r="V273" i="11"/>
  <c r="V228" i="11"/>
  <c r="V275" i="11"/>
  <c r="V225" i="11"/>
  <c r="V235" i="11"/>
  <c r="V238" i="11"/>
  <c r="V241" i="11"/>
  <c r="V251" i="11"/>
  <c r="V254" i="11"/>
  <c r="V257" i="11"/>
  <c r="V260" i="11"/>
  <c r="V263" i="11"/>
  <c r="V272" i="11"/>
  <c r="V203" i="11"/>
  <c r="V206" i="11"/>
  <c r="V216" i="11"/>
  <c r="V219" i="11"/>
  <c r="V217" i="11"/>
  <c r="V208" i="11"/>
  <c r="V211" i="11"/>
  <c r="V214" i="11"/>
  <c r="V202" i="11"/>
  <c r="V212" i="11"/>
  <c r="V215" i="11"/>
  <c r="V218" i="11"/>
  <c r="V197" i="11"/>
  <c r="V200" i="11"/>
  <c r="V194" i="11"/>
  <c r="V191" i="11"/>
  <c r="V188" i="11"/>
  <c r="V189" i="11"/>
  <c r="V192" i="11"/>
  <c r="V181" i="11"/>
  <c r="V177" i="11"/>
  <c r="V165" i="11"/>
  <c r="V156" i="11"/>
  <c r="V159" i="11"/>
  <c r="V162" i="11"/>
  <c r="V172" i="11"/>
  <c r="V161" i="11"/>
  <c r="V146" i="11"/>
  <c r="V144" i="11"/>
  <c r="V137" i="11"/>
  <c r="V138" i="11"/>
  <c r="V141" i="11"/>
  <c r="V118" i="11"/>
  <c r="V121" i="11"/>
  <c r="V124" i="11"/>
  <c r="V127" i="11"/>
  <c r="V133" i="11"/>
  <c r="V110" i="11"/>
  <c r="V113" i="11"/>
  <c r="V116" i="11"/>
  <c r="V119" i="11"/>
  <c r="V126" i="11"/>
  <c r="V129" i="11"/>
  <c r="V132" i="11"/>
  <c r="V135" i="11"/>
  <c r="V109" i="11"/>
  <c r="V112" i="11"/>
  <c r="V115" i="11"/>
  <c r="V100" i="11"/>
  <c r="V98" i="11"/>
  <c r="V101" i="11"/>
  <c r="V104" i="11"/>
  <c r="V95" i="11"/>
  <c r="F270" i="11" l="1"/>
  <c r="H270" i="11" s="1"/>
  <c r="F317" i="11"/>
  <c r="H317" i="11" s="1"/>
  <c r="J317" i="11" l="1"/>
  <c r="F233" i="11"/>
  <c r="H233" i="11" s="1"/>
  <c r="F246" i="11"/>
  <c r="H246" i="11" s="1"/>
  <c r="F225" i="11"/>
  <c r="H225" i="11" s="1"/>
  <c r="F223" i="11"/>
  <c r="H223" i="11" s="1"/>
  <c r="F275" i="11"/>
  <c r="H275" i="11" s="1"/>
  <c r="F267" i="11"/>
  <c r="H267" i="11" s="1"/>
  <c r="F264" i="11"/>
  <c r="H264" i="11" s="1"/>
  <c r="F259" i="11"/>
  <c r="H259" i="11" s="1"/>
  <c r="F245" i="11"/>
  <c r="H245" i="11" s="1"/>
  <c r="F232" i="11"/>
  <c r="H232" i="11" s="1"/>
  <c r="F231" i="11"/>
  <c r="H231" i="11" s="1"/>
  <c r="F148" i="11"/>
  <c r="H148" i="11" s="1"/>
  <c r="F146" i="11"/>
  <c r="J146" i="11" s="1"/>
  <c r="F129" i="11"/>
  <c r="H129" i="11" s="1"/>
  <c r="F87" i="11"/>
  <c r="F86" i="11"/>
  <c r="F85" i="11"/>
  <c r="F84" i="11"/>
  <c r="F83" i="11"/>
  <c r="F82" i="11"/>
  <c r="F80" i="11"/>
  <c r="F79" i="11"/>
  <c r="F78" i="11"/>
  <c r="F77" i="11"/>
  <c r="F76" i="11"/>
  <c r="F75" i="11"/>
  <c r="F71" i="11"/>
  <c r="F70" i="11"/>
  <c r="F68" i="11"/>
  <c r="F66" i="11"/>
  <c r="F64" i="11"/>
  <c r="F63" i="11"/>
  <c r="F62" i="11"/>
  <c r="F60" i="11"/>
  <c r="F59" i="11"/>
  <c r="F58" i="11"/>
  <c r="F57" i="11"/>
  <c r="F56" i="11"/>
  <c r="F55" i="11"/>
  <c r="F54" i="11"/>
  <c r="F53" i="11"/>
  <c r="F51" i="11"/>
  <c r="F50" i="11"/>
  <c r="F48" i="11"/>
  <c r="F47" i="11"/>
  <c r="F46" i="11"/>
  <c r="F45" i="11"/>
  <c r="F43" i="11"/>
  <c r="F42" i="11"/>
  <c r="F41" i="11"/>
  <c r="F39" i="11"/>
  <c r="F37" i="11"/>
  <c r="F36" i="11"/>
  <c r="F34" i="11"/>
  <c r="F33" i="11"/>
  <c r="F32" i="11"/>
  <c r="F30" i="11"/>
  <c r="F29" i="11"/>
  <c r="F28" i="11"/>
  <c r="F27" i="11"/>
  <c r="F26" i="11"/>
  <c r="F25" i="11"/>
  <c r="F24" i="11"/>
  <c r="F23" i="11"/>
  <c r="F22" i="11"/>
  <c r="F20" i="11"/>
  <c r="F19" i="11"/>
  <c r="F18" i="11"/>
  <c r="F17" i="11"/>
  <c r="F16" i="11"/>
  <c r="F15" i="11"/>
  <c r="F14" i="11"/>
  <c r="F12" i="11"/>
  <c r="H146" i="11" l="1"/>
  <c r="J148" i="11"/>
  <c r="M322" i="11" l="1"/>
  <c r="F262" i="11"/>
  <c r="H262" i="11" s="1"/>
  <c r="S87" i="11" l="1"/>
  <c r="T87" i="11" s="1"/>
  <c r="U87" i="11" s="1"/>
  <c r="S86" i="11"/>
  <c r="T86" i="11" s="1"/>
  <c r="U86" i="11" s="1"/>
  <c r="S85" i="11"/>
  <c r="T85" i="11" s="1"/>
  <c r="U85" i="11" s="1"/>
  <c r="S84" i="11"/>
  <c r="T84" i="11" s="1"/>
  <c r="U84" i="11" s="1"/>
  <c r="S83" i="11"/>
  <c r="T83" i="11" s="1"/>
  <c r="U83" i="11" s="1"/>
  <c r="S82" i="11"/>
  <c r="T82" i="11" s="1"/>
  <c r="U82" i="11" s="1"/>
  <c r="S80" i="11"/>
  <c r="T80" i="11" s="1"/>
  <c r="U80" i="11" s="1"/>
  <c r="S79" i="11"/>
  <c r="T79" i="11" s="1"/>
  <c r="U79" i="11" s="1"/>
  <c r="S78" i="11"/>
  <c r="T78" i="11" s="1"/>
  <c r="U78" i="11" s="1"/>
  <c r="S77" i="11"/>
  <c r="T77" i="11" s="1"/>
  <c r="U77" i="11" s="1"/>
  <c r="S76" i="11"/>
  <c r="T76" i="11" s="1"/>
  <c r="U76" i="11" s="1"/>
  <c r="S75" i="11"/>
  <c r="T75" i="11" s="1"/>
  <c r="U75" i="11" s="1"/>
  <c r="S73" i="11"/>
  <c r="T73" i="11" s="1"/>
  <c r="U73" i="11" s="1"/>
  <c r="S71" i="11"/>
  <c r="T71" i="11" s="1"/>
  <c r="U71" i="11" s="1"/>
  <c r="S70" i="11"/>
  <c r="T70" i="11" s="1"/>
  <c r="U70" i="11" s="1"/>
  <c r="S68" i="11"/>
  <c r="T68" i="11" s="1"/>
  <c r="U68" i="11" s="1"/>
  <c r="S66" i="11"/>
  <c r="T66" i="11" s="1"/>
  <c r="U66" i="11" s="1"/>
  <c r="S64" i="11"/>
  <c r="T64" i="11" s="1"/>
  <c r="U64" i="11" s="1"/>
  <c r="S63" i="11"/>
  <c r="T63" i="11" s="1"/>
  <c r="U63" i="11" s="1"/>
  <c r="S62" i="11"/>
  <c r="T62" i="11" s="1"/>
  <c r="U62" i="11" s="1"/>
  <c r="S60" i="11"/>
  <c r="T60" i="11" s="1"/>
  <c r="U60" i="11" s="1"/>
  <c r="S59" i="11"/>
  <c r="T59" i="11" s="1"/>
  <c r="U59" i="11" s="1"/>
  <c r="S58" i="11"/>
  <c r="T58" i="11" s="1"/>
  <c r="U58" i="11" s="1"/>
  <c r="S57" i="11"/>
  <c r="T57" i="11" s="1"/>
  <c r="U57" i="11" s="1"/>
  <c r="S56" i="11"/>
  <c r="T56" i="11" s="1"/>
  <c r="U56" i="11" s="1"/>
  <c r="S55" i="11"/>
  <c r="T55" i="11" s="1"/>
  <c r="U55" i="11" s="1"/>
  <c r="S54" i="11"/>
  <c r="T54" i="11" s="1"/>
  <c r="U54" i="11" s="1"/>
  <c r="S53" i="11"/>
  <c r="T53" i="11" s="1"/>
  <c r="U53" i="11" s="1"/>
  <c r="S51" i="11"/>
  <c r="T51" i="11" s="1"/>
  <c r="U51" i="11" s="1"/>
  <c r="S50" i="11"/>
  <c r="T50" i="11" s="1"/>
  <c r="U50" i="11" s="1"/>
  <c r="S48" i="11"/>
  <c r="T48" i="11" s="1"/>
  <c r="U48" i="11" s="1"/>
  <c r="S47" i="11"/>
  <c r="T47" i="11" s="1"/>
  <c r="U47" i="11" s="1"/>
  <c r="S46" i="11"/>
  <c r="T46" i="11" s="1"/>
  <c r="U46" i="11" s="1"/>
  <c r="S45" i="11"/>
  <c r="T45" i="11" s="1"/>
  <c r="U45" i="11" s="1"/>
  <c r="S43" i="11"/>
  <c r="T43" i="11" s="1"/>
  <c r="U43" i="11" s="1"/>
  <c r="S42" i="11"/>
  <c r="T42" i="11" s="1"/>
  <c r="U42" i="11" s="1"/>
  <c r="S41" i="11"/>
  <c r="T41" i="11" s="1"/>
  <c r="U41" i="11" s="1"/>
  <c r="S39" i="11"/>
  <c r="T39" i="11" s="1"/>
  <c r="U39" i="11" s="1"/>
  <c r="S37" i="11"/>
  <c r="T37" i="11" s="1"/>
  <c r="U37" i="11" s="1"/>
  <c r="S36" i="11"/>
  <c r="T36" i="11" s="1"/>
  <c r="U36" i="11" s="1"/>
  <c r="S34" i="11"/>
  <c r="T34" i="11" s="1"/>
  <c r="U34" i="11" s="1"/>
  <c r="S33" i="11"/>
  <c r="T33" i="11" s="1"/>
  <c r="U33" i="11" s="1"/>
  <c r="S32" i="11"/>
  <c r="T32" i="11" s="1"/>
  <c r="U32" i="11" s="1"/>
  <c r="S30" i="11"/>
  <c r="T30" i="11" s="1"/>
  <c r="U30" i="11" s="1"/>
  <c r="S29" i="11"/>
  <c r="T29" i="11" s="1"/>
  <c r="U29" i="11" s="1"/>
  <c r="S28" i="11"/>
  <c r="T28" i="11" s="1"/>
  <c r="U28" i="11" s="1"/>
  <c r="S27" i="11"/>
  <c r="T27" i="11" s="1"/>
  <c r="U27" i="11" s="1"/>
  <c r="S26" i="11"/>
  <c r="T26" i="11" s="1"/>
  <c r="U26" i="11" s="1"/>
  <c r="S25" i="11"/>
  <c r="T25" i="11" s="1"/>
  <c r="U25" i="11" s="1"/>
  <c r="S24" i="11"/>
  <c r="T24" i="11" s="1"/>
  <c r="U24" i="11" s="1"/>
  <c r="S23" i="11"/>
  <c r="T23" i="11" s="1"/>
  <c r="U23" i="11" s="1"/>
  <c r="S22" i="11"/>
  <c r="T22" i="11" s="1"/>
  <c r="U22" i="11" s="1"/>
  <c r="S20" i="11"/>
  <c r="T20" i="11" s="1"/>
  <c r="U20" i="11" s="1"/>
  <c r="S19" i="11"/>
  <c r="T19" i="11" s="1"/>
  <c r="U19" i="11" s="1"/>
  <c r="S18" i="11"/>
  <c r="T18" i="11" s="1"/>
  <c r="U18" i="11" s="1"/>
  <c r="S17" i="11"/>
  <c r="T17" i="11" s="1"/>
  <c r="U17" i="11" s="1"/>
  <c r="S16" i="11"/>
  <c r="T16" i="11" s="1"/>
  <c r="U16" i="11" s="1"/>
  <c r="S15" i="11"/>
  <c r="T15" i="11" s="1"/>
  <c r="U15" i="11" s="1"/>
  <c r="S14" i="11"/>
  <c r="T14" i="11" s="1"/>
  <c r="U14" i="11" s="1"/>
  <c r="S12" i="11"/>
  <c r="T12" i="11" s="1"/>
  <c r="U12" i="11" s="1"/>
  <c r="P87" i="11"/>
  <c r="Q87" i="11" s="1"/>
  <c r="R87" i="11" s="1"/>
  <c r="P86" i="11"/>
  <c r="Q86" i="11" s="1"/>
  <c r="R86" i="11" s="1"/>
  <c r="P85" i="11"/>
  <c r="Q85" i="11" s="1"/>
  <c r="R85" i="11" s="1"/>
  <c r="P84" i="11"/>
  <c r="Q84" i="11" s="1"/>
  <c r="R84" i="11" s="1"/>
  <c r="P83" i="11"/>
  <c r="Q83" i="11" s="1"/>
  <c r="R83" i="11" s="1"/>
  <c r="P82" i="11"/>
  <c r="Q82" i="11" s="1"/>
  <c r="R82" i="11" s="1"/>
  <c r="P80" i="11"/>
  <c r="Q80" i="11" s="1"/>
  <c r="R80" i="11" s="1"/>
  <c r="P79" i="11"/>
  <c r="Q79" i="11" s="1"/>
  <c r="R79" i="11" s="1"/>
  <c r="P78" i="11"/>
  <c r="P77" i="11"/>
  <c r="Q77" i="11" s="1"/>
  <c r="R77" i="11" s="1"/>
  <c r="P76" i="11"/>
  <c r="Q76" i="11" s="1"/>
  <c r="R76" i="11" s="1"/>
  <c r="P75" i="11"/>
  <c r="Q75" i="11" s="1"/>
  <c r="R75" i="11" s="1"/>
  <c r="P73" i="11"/>
  <c r="Q73" i="11" s="1"/>
  <c r="R73" i="11" s="1"/>
  <c r="P71" i="11"/>
  <c r="Q71" i="11" s="1"/>
  <c r="R71" i="11" s="1"/>
  <c r="P70" i="11"/>
  <c r="Q70" i="11" s="1"/>
  <c r="R70" i="11" s="1"/>
  <c r="P68" i="11"/>
  <c r="Q68" i="11" s="1"/>
  <c r="R68" i="11" s="1"/>
  <c r="P66" i="11"/>
  <c r="Q66" i="11" s="1"/>
  <c r="R66" i="11" s="1"/>
  <c r="V66" i="11" s="1"/>
  <c r="P64" i="11"/>
  <c r="P63" i="11"/>
  <c r="Q63" i="11" s="1"/>
  <c r="R63" i="11" s="1"/>
  <c r="P62" i="11"/>
  <c r="Q62" i="11" s="1"/>
  <c r="R62" i="11" s="1"/>
  <c r="P60" i="11"/>
  <c r="Q60" i="11" s="1"/>
  <c r="R60" i="11" s="1"/>
  <c r="P59" i="11"/>
  <c r="Q59" i="11" s="1"/>
  <c r="R59" i="11" s="1"/>
  <c r="P58" i="11"/>
  <c r="Q58" i="11" s="1"/>
  <c r="R58" i="11" s="1"/>
  <c r="P57" i="11"/>
  <c r="Q57" i="11" s="1"/>
  <c r="R57" i="11" s="1"/>
  <c r="P56" i="11"/>
  <c r="Q56" i="11" s="1"/>
  <c r="R56" i="11" s="1"/>
  <c r="P55" i="11"/>
  <c r="Q55" i="11" s="1"/>
  <c r="R55" i="11" s="1"/>
  <c r="P54" i="11"/>
  <c r="Q54" i="11" s="1"/>
  <c r="R54" i="11" s="1"/>
  <c r="P53" i="11"/>
  <c r="Q53" i="11" s="1"/>
  <c r="R53" i="11" s="1"/>
  <c r="P51" i="11"/>
  <c r="Q51" i="11" s="1"/>
  <c r="R51" i="11" s="1"/>
  <c r="P50" i="11"/>
  <c r="Q50" i="11" s="1"/>
  <c r="R50" i="11" s="1"/>
  <c r="P48" i="11"/>
  <c r="Q48" i="11" s="1"/>
  <c r="R48" i="11" s="1"/>
  <c r="P47" i="11"/>
  <c r="Q47" i="11" s="1"/>
  <c r="R47" i="11" s="1"/>
  <c r="P46" i="11"/>
  <c r="Q46" i="11" s="1"/>
  <c r="R46" i="11" s="1"/>
  <c r="P45" i="11"/>
  <c r="Q45" i="11" s="1"/>
  <c r="R45" i="11" s="1"/>
  <c r="P43" i="11"/>
  <c r="Q43" i="11" s="1"/>
  <c r="R43" i="11" s="1"/>
  <c r="P42" i="11"/>
  <c r="Q42" i="11" s="1"/>
  <c r="R42" i="11" s="1"/>
  <c r="P41" i="11"/>
  <c r="Q41" i="11" s="1"/>
  <c r="R41" i="11" s="1"/>
  <c r="P39" i="11"/>
  <c r="Q39" i="11" s="1"/>
  <c r="R39" i="11" s="1"/>
  <c r="P37" i="11"/>
  <c r="Q37" i="11" s="1"/>
  <c r="R37" i="11" s="1"/>
  <c r="P36" i="11"/>
  <c r="Q36" i="11" s="1"/>
  <c r="R36" i="11" s="1"/>
  <c r="P34" i="11"/>
  <c r="Q34" i="11" s="1"/>
  <c r="R34" i="11" s="1"/>
  <c r="P33" i="11"/>
  <c r="Q33" i="11" s="1"/>
  <c r="R33" i="11" s="1"/>
  <c r="P32" i="11"/>
  <c r="Q32" i="11" s="1"/>
  <c r="R32" i="11" s="1"/>
  <c r="P30" i="11"/>
  <c r="Q30" i="11" s="1"/>
  <c r="R30" i="11" s="1"/>
  <c r="P29" i="11"/>
  <c r="Q29" i="11" s="1"/>
  <c r="R29" i="11" s="1"/>
  <c r="P28" i="11"/>
  <c r="Q28" i="11" s="1"/>
  <c r="R28" i="11" s="1"/>
  <c r="P27" i="11"/>
  <c r="Q27" i="11" s="1"/>
  <c r="R27" i="11" s="1"/>
  <c r="P26" i="11"/>
  <c r="Q26" i="11" s="1"/>
  <c r="R26" i="11" s="1"/>
  <c r="P25" i="11"/>
  <c r="Q25" i="11" s="1"/>
  <c r="R25" i="11" s="1"/>
  <c r="P24" i="11"/>
  <c r="Q24" i="11" s="1"/>
  <c r="R24" i="11" s="1"/>
  <c r="P23" i="11"/>
  <c r="Q23" i="11" s="1"/>
  <c r="R23" i="11" s="1"/>
  <c r="P22" i="11"/>
  <c r="Q22" i="11" s="1"/>
  <c r="R22" i="11" s="1"/>
  <c r="P20" i="11"/>
  <c r="Q20" i="11" s="1"/>
  <c r="R20" i="11" s="1"/>
  <c r="P19" i="11"/>
  <c r="Q19" i="11" s="1"/>
  <c r="R19" i="11" s="1"/>
  <c r="P18" i="11"/>
  <c r="Q18" i="11" s="1"/>
  <c r="R18" i="11" s="1"/>
  <c r="P17" i="11"/>
  <c r="Q17" i="11" s="1"/>
  <c r="R17" i="11" s="1"/>
  <c r="P16" i="11"/>
  <c r="Q16" i="11" s="1"/>
  <c r="R16" i="11" s="1"/>
  <c r="P15" i="11"/>
  <c r="Q15" i="11" s="1"/>
  <c r="R15" i="11" s="1"/>
  <c r="P14" i="11"/>
  <c r="Q14" i="11" s="1"/>
  <c r="R14" i="11" s="1"/>
  <c r="P12" i="11"/>
  <c r="Q12" i="11" s="1"/>
  <c r="R12" i="11" s="1"/>
  <c r="O87" i="11"/>
  <c r="O86" i="11"/>
  <c r="O85" i="11"/>
  <c r="O84" i="11"/>
  <c r="O83" i="11"/>
  <c r="O82" i="11"/>
  <c r="O80" i="11"/>
  <c r="O79" i="11"/>
  <c r="O78" i="11"/>
  <c r="O77" i="11"/>
  <c r="O76" i="11"/>
  <c r="O75" i="11"/>
  <c r="O73" i="11"/>
  <c r="O71" i="11"/>
  <c r="O70" i="11"/>
  <c r="O68" i="11"/>
  <c r="O66" i="11"/>
  <c r="O64" i="11"/>
  <c r="O63" i="11"/>
  <c r="O62" i="11"/>
  <c r="O60" i="11"/>
  <c r="O59" i="11"/>
  <c r="O58" i="11"/>
  <c r="O57" i="11"/>
  <c r="O56" i="11"/>
  <c r="O55" i="11"/>
  <c r="O54" i="11"/>
  <c r="O53" i="11"/>
  <c r="O51" i="11"/>
  <c r="O50" i="11"/>
  <c r="O48" i="11"/>
  <c r="O47" i="11"/>
  <c r="O46" i="11"/>
  <c r="O45" i="11"/>
  <c r="O43" i="11"/>
  <c r="O42" i="11"/>
  <c r="O41" i="11"/>
  <c r="O39" i="11"/>
  <c r="O37" i="11"/>
  <c r="O36" i="11"/>
  <c r="O34" i="11"/>
  <c r="O33" i="11"/>
  <c r="O32" i="11"/>
  <c r="O30" i="11"/>
  <c r="O29" i="11"/>
  <c r="O28" i="11"/>
  <c r="O27" i="11"/>
  <c r="O26" i="11"/>
  <c r="O25" i="11"/>
  <c r="O24" i="11"/>
  <c r="O23" i="11"/>
  <c r="O22" i="11"/>
  <c r="O20" i="11"/>
  <c r="O19" i="11"/>
  <c r="O18" i="11"/>
  <c r="O17" i="11"/>
  <c r="O16" i="11"/>
  <c r="O15" i="11"/>
  <c r="O14" i="11"/>
  <c r="O12" i="11"/>
  <c r="V34" i="11" l="1"/>
  <c r="Q64" i="11"/>
  <c r="R64" i="11" s="1"/>
  <c r="V64" i="11" s="1"/>
  <c r="V12" i="11"/>
  <c r="Q78" i="11"/>
  <c r="R78" i="11" s="1"/>
  <c r="V78" i="11" s="1"/>
  <c r="V19" i="11"/>
  <c r="V87" i="11"/>
  <c r="V73" i="11"/>
  <c r="V56" i="11"/>
  <c r="V60" i="11"/>
  <c r="V39" i="11"/>
  <c r="V28" i="11"/>
  <c r="V51" i="11"/>
  <c r="V20" i="11"/>
  <c r="V16" i="11"/>
  <c r="V83" i="11"/>
  <c r="V71" i="11"/>
  <c r="V68" i="11"/>
  <c r="V59" i="11"/>
  <c r="V50" i="11"/>
  <c r="V25" i="11"/>
  <c r="V29" i="11"/>
  <c r="V30" i="11"/>
  <c r="V53" i="11"/>
  <c r="V75" i="11"/>
  <c r="V22" i="11"/>
  <c r="V42" i="11"/>
  <c r="V62" i="11"/>
  <c r="V84" i="11"/>
  <c r="V82" i="11"/>
  <c r="V17" i="11"/>
  <c r="V27" i="11"/>
  <c r="V23" i="11"/>
  <c r="V54" i="11"/>
  <c r="V76" i="11"/>
  <c r="V85" i="11"/>
  <c r="V43" i="11"/>
  <c r="V63" i="11"/>
  <c r="V15" i="11"/>
  <c r="V33" i="11"/>
  <c r="V45" i="11"/>
  <c r="V55" i="11"/>
  <c r="V77" i="11"/>
  <c r="V86" i="11"/>
  <c r="V32" i="11"/>
  <c r="V14" i="11"/>
  <c r="V70" i="11"/>
  <c r="V26" i="11"/>
  <c r="V36" i="11"/>
  <c r="V47" i="11"/>
  <c r="V57" i="11"/>
  <c r="V79" i="11"/>
  <c r="V18" i="11"/>
  <c r="V37" i="11"/>
  <c r="V48" i="11"/>
  <c r="V80" i="11"/>
  <c r="V58" i="11"/>
  <c r="V46" i="11"/>
  <c r="V41" i="11"/>
  <c r="V24" i="11"/>
  <c r="F319" i="11"/>
  <c r="J319" i="11" s="1"/>
  <c r="F316" i="11"/>
  <c r="J316" i="11" s="1"/>
  <c r="F315" i="11"/>
  <c r="F265" i="11"/>
  <c r="H265" i="11" s="1"/>
  <c r="F263" i="11"/>
  <c r="H263" i="11" s="1"/>
  <c r="F261" i="11"/>
  <c r="H261" i="11" s="1"/>
  <c r="F250" i="11"/>
  <c r="H250" i="11" s="1"/>
  <c r="F249" i="11"/>
  <c r="H249" i="11" s="1"/>
  <c r="F248" i="11"/>
  <c r="H248" i="11" s="1"/>
  <c r="F243" i="11"/>
  <c r="H243" i="11" s="1"/>
  <c r="F239" i="11"/>
  <c r="H239" i="11" s="1"/>
  <c r="F230" i="11"/>
  <c r="H230" i="11" s="1"/>
  <c r="F219" i="11"/>
  <c r="J219" i="11" s="1"/>
  <c r="F218" i="11"/>
  <c r="H218" i="11" s="1"/>
  <c r="F214" i="11"/>
  <c r="J214" i="11" s="1"/>
  <c r="F199" i="11"/>
  <c r="J199" i="11" s="1"/>
  <c r="F172" i="11"/>
  <c r="J172" i="11" s="1"/>
  <c r="F169" i="11"/>
  <c r="J169" i="11" s="1"/>
  <c r="F158" i="11"/>
  <c r="J158" i="11" s="1"/>
  <c r="F138" i="11"/>
  <c r="J218" i="11" l="1"/>
  <c r="H319" i="11"/>
  <c r="H316" i="11"/>
  <c r="H315" i="11"/>
  <c r="H219" i="11"/>
  <c r="H214" i="11"/>
  <c r="H199" i="11"/>
  <c r="H172" i="11"/>
  <c r="H169" i="11"/>
  <c r="H158" i="11"/>
  <c r="H138" i="11"/>
  <c r="F133" i="11" l="1"/>
  <c r="J133" i="11" s="1"/>
  <c r="F131" i="11"/>
  <c r="J131" i="11" s="1"/>
  <c r="F116" i="11"/>
  <c r="F112" i="11"/>
  <c r="F198" i="11"/>
  <c r="J198" i="11" s="1"/>
  <c r="F104" i="11"/>
  <c r="J104" i="11" s="1"/>
  <c r="F95" i="11"/>
  <c r="J95" i="11" s="1"/>
  <c r="J84" i="11"/>
  <c r="J83" i="11"/>
  <c r="J28" i="11"/>
  <c r="J16" i="11"/>
  <c r="H15" i="11"/>
  <c r="H56" i="11"/>
  <c r="J55" i="11"/>
  <c r="J54" i="11"/>
  <c r="J53" i="11"/>
  <c r="H116" i="11" l="1"/>
  <c r="J116" i="11"/>
  <c r="H112" i="11"/>
  <c r="J112" i="11"/>
  <c r="H133" i="11"/>
  <c r="H131" i="11"/>
  <c r="H83" i="11"/>
  <c r="H198" i="11"/>
  <c r="H104" i="11"/>
  <c r="H95" i="11"/>
  <c r="H84" i="11"/>
  <c r="J56" i="11"/>
  <c r="H28" i="11"/>
  <c r="J15" i="11"/>
  <c r="H16" i="11"/>
  <c r="H55" i="11"/>
  <c r="H54" i="11"/>
  <c r="H53" i="11"/>
  <c r="K322" i="11" l="1"/>
  <c r="L322" i="11"/>
  <c r="O322" i="11" l="1"/>
  <c r="R322" i="11"/>
  <c r="V93" i="11"/>
  <c r="T322" i="11"/>
  <c r="F321" i="11"/>
  <c r="H321" i="11" s="1"/>
  <c r="F314" i="11"/>
  <c r="J314" i="11" s="1"/>
  <c r="F312" i="11"/>
  <c r="J312" i="11" s="1"/>
  <c r="F311" i="11"/>
  <c r="H311" i="11" s="1"/>
  <c r="F310" i="11"/>
  <c r="F309" i="11"/>
  <c r="J309" i="11" s="1"/>
  <c r="F307" i="11"/>
  <c r="J307" i="11" s="1"/>
  <c r="F306" i="11"/>
  <c r="J306" i="11" s="1"/>
  <c r="F305" i="11"/>
  <c r="H305" i="11" s="1"/>
  <c r="F304" i="11"/>
  <c r="J304" i="11" s="1"/>
  <c r="F303" i="11"/>
  <c r="J303" i="11" s="1"/>
  <c r="F302" i="11"/>
  <c r="H302" i="11" s="1"/>
  <c r="F301" i="11"/>
  <c r="J301" i="11" s="1"/>
  <c r="F300" i="11"/>
  <c r="J300" i="11" s="1"/>
  <c r="F299" i="11"/>
  <c r="F298" i="11"/>
  <c r="J298" i="11" s="1"/>
  <c r="F296" i="11"/>
  <c r="J296" i="11" s="1"/>
  <c r="F295" i="11"/>
  <c r="H295" i="11" s="1"/>
  <c r="F294" i="11"/>
  <c r="J294" i="11" s="1"/>
  <c r="F293" i="11"/>
  <c r="H293" i="11" s="1"/>
  <c r="F291" i="11"/>
  <c r="H291" i="11" s="1"/>
  <c r="F290" i="11"/>
  <c r="H290" i="11" s="1"/>
  <c r="F289" i="11"/>
  <c r="H289" i="11" s="1"/>
  <c r="F288" i="11"/>
  <c r="H288" i="11" s="1"/>
  <c r="F287" i="11"/>
  <c r="H287" i="11" s="1"/>
  <c r="F286" i="11"/>
  <c r="H286" i="11" s="1"/>
  <c r="F285" i="11"/>
  <c r="F283" i="11"/>
  <c r="J283" i="11" s="1"/>
  <c r="F282" i="11"/>
  <c r="J282" i="11" s="1"/>
  <c r="F281" i="11"/>
  <c r="J281" i="11" s="1"/>
  <c r="F280" i="11"/>
  <c r="J280" i="11" s="1"/>
  <c r="F278" i="11"/>
  <c r="H278" i="11" s="1"/>
  <c r="F277" i="11"/>
  <c r="H277" i="11" s="1"/>
  <c r="F276" i="11"/>
  <c r="H276" i="11" s="1"/>
  <c r="F274" i="11"/>
  <c r="H274" i="11" s="1"/>
  <c r="F273" i="11"/>
  <c r="H273" i="11" s="1"/>
  <c r="F272" i="11"/>
  <c r="H272" i="11" s="1"/>
  <c r="F271" i="11"/>
  <c r="H271" i="11" s="1"/>
  <c r="F269" i="11"/>
  <c r="H269" i="11" s="1"/>
  <c r="F268" i="11"/>
  <c r="H268" i="11" s="1"/>
  <c r="F266" i="11"/>
  <c r="H266" i="11" s="1"/>
  <c r="F260" i="11"/>
  <c r="H260" i="11" s="1"/>
  <c r="F258" i="11"/>
  <c r="H258" i="11" s="1"/>
  <c r="F257" i="11"/>
  <c r="H257" i="11" s="1"/>
  <c r="F256" i="11"/>
  <c r="H256" i="11" s="1"/>
  <c r="F255" i="11"/>
  <c r="H255" i="11" s="1"/>
  <c r="F254" i="11"/>
  <c r="H254" i="11" s="1"/>
  <c r="F253" i="11"/>
  <c r="H253" i="11" s="1"/>
  <c r="F252" i="11"/>
  <c r="H252" i="11" s="1"/>
  <c r="F251" i="11"/>
  <c r="H251" i="11" s="1"/>
  <c r="F247" i="11"/>
  <c r="H247" i="11" s="1"/>
  <c r="F244" i="11"/>
  <c r="H244" i="11" s="1"/>
  <c r="F242" i="11"/>
  <c r="H242" i="11" s="1"/>
  <c r="F241" i="11"/>
  <c r="H241" i="11" s="1"/>
  <c r="F240" i="11"/>
  <c r="H240" i="11" s="1"/>
  <c r="F238" i="11"/>
  <c r="H238" i="11" s="1"/>
  <c r="F237" i="11"/>
  <c r="H237" i="11" s="1"/>
  <c r="F236" i="11"/>
  <c r="H236" i="11" s="1"/>
  <c r="F235" i="11"/>
  <c r="H235" i="11" s="1"/>
  <c r="F234" i="11"/>
  <c r="H234" i="11" s="1"/>
  <c r="F229" i="11"/>
  <c r="H229" i="11" s="1"/>
  <c r="F228" i="11"/>
  <c r="H228" i="11" s="1"/>
  <c r="F227" i="11"/>
  <c r="H227" i="11" s="1"/>
  <c r="F226" i="11"/>
  <c r="H226" i="11" s="1"/>
  <c r="F224" i="11"/>
  <c r="H224" i="11" s="1"/>
  <c r="F221" i="11"/>
  <c r="H221" i="11" s="1"/>
  <c r="F220" i="11"/>
  <c r="H220" i="11" s="1"/>
  <c r="F217" i="11"/>
  <c r="J217" i="11" s="1"/>
  <c r="F216" i="11"/>
  <c r="J216" i="11" s="1"/>
  <c r="F215" i="11"/>
  <c r="J215" i="11" s="1"/>
  <c r="F213" i="11"/>
  <c r="J213" i="11" s="1"/>
  <c r="F212" i="11"/>
  <c r="H212" i="11" s="1"/>
  <c r="F211" i="11"/>
  <c r="J211" i="11" s="1"/>
  <c r="F210" i="11"/>
  <c r="J210" i="11" s="1"/>
  <c r="F209" i="11"/>
  <c r="J209" i="11" s="1"/>
  <c r="F208" i="11"/>
  <c r="J208" i="11" s="1"/>
  <c r="F207" i="11"/>
  <c r="H207" i="11" s="1"/>
  <c r="F206" i="11"/>
  <c r="H206" i="11" s="1"/>
  <c r="F205" i="11"/>
  <c r="J205" i="11" s="1"/>
  <c r="F204" i="11"/>
  <c r="J204" i="11" s="1"/>
  <c r="F203" i="11"/>
  <c r="J203" i="11" s="1"/>
  <c r="F200" i="11"/>
  <c r="J200" i="11" s="1"/>
  <c r="F197" i="11"/>
  <c r="H197" i="11" s="1"/>
  <c r="F195" i="11"/>
  <c r="H195" i="11" s="1"/>
  <c r="F194" i="11"/>
  <c r="F193" i="11"/>
  <c r="F192" i="11"/>
  <c r="F191" i="11"/>
  <c r="F190" i="11"/>
  <c r="F189" i="11"/>
  <c r="F188" i="11"/>
  <c r="H188" i="11" s="1"/>
  <c r="F186" i="11"/>
  <c r="H186" i="11" s="1"/>
  <c r="F185" i="11"/>
  <c r="H185" i="11" s="1"/>
  <c r="F183" i="11"/>
  <c r="J183" i="11" s="1"/>
  <c r="F182" i="11"/>
  <c r="H182" i="11" s="1"/>
  <c r="F181" i="11"/>
  <c r="H181" i="11" s="1"/>
  <c r="F180" i="11"/>
  <c r="H180" i="11" s="1"/>
  <c r="F179" i="11"/>
  <c r="H179" i="11" s="1"/>
  <c r="F178" i="11"/>
  <c r="J178" i="11" s="1"/>
  <c r="F177" i="11"/>
  <c r="J177" i="11" s="1"/>
  <c r="F176" i="11"/>
  <c r="H176" i="11" s="1"/>
  <c r="F174" i="11"/>
  <c r="J174" i="11" s="1"/>
  <c r="F173" i="11"/>
  <c r="H173" i="11" s="1"/>
  <c r="F171" i="11"/>
  <c r="J171" i="11" s="1"/>
  <c r="F170" i="11"/>
  <c r="J170" i="11" s="1"/>
  <c r="F168" i="11"/>
  <c r="J168" i="11" s="1"/>
  <c r="F167" i="11"/>
  <c r="J167" i="11" s="1"/>
  <c r="F166" i="11"/>
  <c r="J166" i="11" s="1"/>
  <c r="F165" i="11"/>
  <c r="H165" i="11" s="1"/>
  <c r="F164" i="11"/>
  <c r="J164" i="11" s="1"/>
  <c r="F163" i="11"/>
  <c r="H163" i="11" s="1"/>
  <c r="F162" i="11"/>
  <c r="J162" i="11" s="1"/>
  <c r="F161" i="11"/>
  <c r="J161" i="11" s="1"/>
  <c r="F160" i="11"/>
  <c r="J160" i="11" s="1"/>
  <c r="F159" i="11"/>
  <c r="F157" i="11"/>
  <c r="H157" i="11" s="1"/>
  <c r="F156" i="11"/>
  <c r="H156" i="11" s="1"/>
  <c r="F155" i="11"/>
  <c r="F154" i="11"/>
  <c r="F153" i="11"/>
  <c r="J153" i="11" s="1"/>
  <c r="F151" i="11"/>
  <c r="J151" i="11" s="1"/>
  <c r="F150" i="11"/>
  <c r="J150" i="11" s="1"/>
  <c r="F149" i="11"/>
  <c r="J149" i="11" s="1"/>
  <c r="F147" i="11"/>
  <c r="J147" i="11" s="1"/>
  <c r="F145" i="11"/>
  <c r="J145" i="11" s="1"/>
  <c r="F144" i="11"/>
  <c r="J144" i="11" s="1"/>
  <c r="F143" i="11"/>
  <c r="H143" i="11" s="1"/>
  <c r="F141" i="11"/>
  <c r="H141" i="11" s="1"/>
  <c r="F140" i="11"/>
  <c r="F139" i="11"/>
  <c r="F137" i="11"/>
  <c r="J137" i="11" s="1"/>
  <c r="F135" i="11"/>
  <c r="F134" i="11"/>
  <c r="J134" i="11" s="1"/>
  <c r="F132" i="11"/>
  <c r="H132" i="11" s="1"/>
  <c r="F130" i="11"/>
  <c r="H130" i="11" s="1"/>
  <c r="F128" i="11"/>
  <c r="J128" i="11" s="1"/>
  <c r="F127" i="11"/>
  <c r="F126" i="11"/>
  <c r="F125" i="11"/>
  <c r="H125" i="11" s="1"/>
  <c r="F124" i="11"/>
  <c r="J124" i="11" s="1"/>
  <c r="F123" i="11"/>
  <c r="J123" i="11" s="1"/>
  <c r="F122" i="11"/>
  <c r="H122" i="11" s="1"/>
  <c r="F121" i="11"/>
  <c r="J121" i="11" s="1"/>
  <c r="F120" i="11"/>
  <c r="J120" i="11" s="1"/>
  <c r="F119" i="11"/>
  <c r="H119" i="11" s="1"/>
  <c r="F118" i="11"/>
  <c r="J118" i="11" s="1"/>
  <c r="F117" i="11"/>
  <c r="F115" i="11"/>
  <c r="F114" i="11"/>
  <c r="F113" i="11"/>
  <c r="F111" i="11"/>
  <c r="F110" i="11"/>
  <c r="J110" i="11" s="1"/>
  <c r="F109" i="11"/>
  <c r="F107" i="11"/>
  <c r="J107" i="11" s="1"/>
  <c r="F106" i="11"/>
  <c r="J106" i="11" s="1"/>
  <c r="F105" i="11"/>
  <c r="J105" i="11" s="1"/>
  <c r="F103" i="11"/>
  <c r="J103" i="11" s="1"/>
  <c r="F102" i="11"/>
  <c r="J102" i="11" s="1"/>
  <c r="F101" i="11"/>
  <c r="J101" i="11" s="1"/>
  <c r="F100" i="11"/>
  <c r="J100" i="11" s="1"/>
  <c r="F99" i="11"/>
  <c r="F98" i="11"/>
  <c r="J98" i="11" s="1"/>
  <c r="F96" i="11"/>
  <c r="J96" i="11" s="1"/>
  <c r="F94" i="11"/>
  <c r="J94" i="11" s="1"/>
  <c r="F202" i="11"/>
  <c r="H202" i="11" s="1"/>
  <c r="O323" i="11" l="1"/>
  <c r="H310" i="11"/>
  <c r="J310" i="11"/>
  <c r="H299" i="11"/>
  <c r="J299" i="11"/>
  <c r="H285" i="11"/>
  <c r="J285" i="11"/>
  <c r="H189" i="11"/>
  <c r="J189" i="11"/>
  <c r="H194" i="11"/>
  <c r="J194" i="11"/>
  <c r="H190" i="11"/>
  <c r="J190" i="11"/>
  <c r="H191" i="11"/>
  <c r="J191" i="11"/>
  <c r="H192" i="11"/>
  <c r="J192" i="11"/>
  <c r="H193" i="11"/>
  <c r="J193" i="11"/>
  <c r="H155" i="11"/>
  <c r="J155" i="11"/>
  <c r="H159" i="11"/>
  <c r="J159" i="11"/>
  <c r="H154" i="11"/>
  <c r="J154" i="11"/>
  <c r="H139" i="11"/>
  <c r="J139" i="11"/>
  <c r="H140" i="11"/>
  <c r="J140" i="11"/>
  <c r="H117" i="11"/>
  <c r="J117" i="11"/>
  <c r="H126" i="11"/>
  <c r="J126" i="11"/>
  <c r="H115" i="11"/>
  <c r="J115" i="11"/>
  <c r="J109" i="11"/>
  <c r="H109" i="11"/>
  <c r="H127" i="11"/>
  <c r="J127" i="11"/>
  <c r="H114" i="11"/>
  <c r="J114" i="11"/>
  <c r="H135" i="11"/>
  <c r="J135" i="11"/>
  <c r="H111" i="11"/>
  <c r="J111" i="11"/>
  <c r="H113" i="11"/>
  <c r="J113" i="11"/>
  <c r="J182" i="11"/>
  <c r="H294" i="11"/>
  <c r="F322" i="11"/>
  <c r="F323" i="11" s="1"/>
  <c r="H94" i="11"/>
  <c r="H309" i="11"/>
  <c r="J181" i="11"/>
  <c r="V322" i="11"/>
  <c r="J157" i="11"/>
  <c r="J99" i="11"/>
  <c r="J302" i="11"/>
  <c r="H306" i="11"/>
  <c r="H150" i="11"/>
  <c r="J305" i="11"/>
  <c r="H301" i="11"/>
  <c r="H210" i="11"/>
  <c r="J206" i="11"/>
  <c r="J207" i="11"/>
  <c r="J221" i="11"/>
  <c r="H105" i="11"/>
  <c r="J195" i="11"/>
  <c r="H300" i="11"/>
  <c r="H303" i="11"/>
  <c r="H307" i="11"/>
  <c r="J180" i="11"/>
  <c r="H209" i="11"/>
  <c r="H314" i="11"/>
  <c r="J119" i="11"/>
  <c r="H208" i="11"/>
  <c r="J176" i="11"/>
  <c r="J220" i="11"/>
  <c r="J202" i="11"/>
  <c r="J156" i="11"/>
  <c r="H147" i="11"/>
  <c r="H137" i="11"/>
  <c r="J132" i="11"/>
  <c r="H134" i="11"/>
  <c r="H103" i="11"/>
  <c r="J321" i="11"/>
  <c r="H124" i="11"/>
  <c r="H170" i="11"/>
  <c r="J179" i="11"/>
  <c r="H215" i="11"/>
  <c r="H283" i="11"/>
  <c r="H177" i="11"/>
  <c r="H102" i="11"/>
  <c r="H107" i="11"/>
  <c r="H121" i="11"/>
  <c r="J141" i="11"/>
  <c r="H205" i="11"/>
  <c r="H216" i="11"/>
  <c r="J311" i="11"/>
  <c r="H217" i="11"/>
  <c r="H99" i="11"/>
  <c r="H110" i="11"/>
  <c r="H123" i="11"/>
  <c r="H178" i="11"/>
  <c r="H282" i="11"/>
  <c r="H298" i="11"/>
  <c r="H304" i="11"/>
  <c r="H312" i="11"/>
  <c r="J186" i="11"/>
  <c r="J295" i="11"/>
  <c r="H296" i="11"/>
  <c r="J293" i="11"/>
  <c r="H281" i="11"/>
  <c r="H280" i="11"/>
  <c r="H213" i="11"/>
  <c r="J212" i="11"/>
  <c r="H211" i="11"/>
  <c r="H204" i="11"/>
  <c r="H203" i="11"/>
  <c r="J197" i="11"/>
  <c r="H200" i="11"/>
  <c r="H183" i="11"/>
  <c r="H174" i="11"/>
  <c r="J188" i="11"/>
  <c r="J185" i="11"/>
  <c r="J173" i="11"/>
  <c r="H171" i="11"/>
  <c r="H167" i="11"/>
  <c r="H168" i="11"/>
  <c r="J165" i="11"/>
  <c r="H166" i="11"/>
  <c r="H164" i="11"/>
  <c r="J163" i="11"/>
  <c r="H161" i="11"/>
  <c r="H162" i="11"/>
  <c r="H160" i="11"/>
  <c r="H153" i="11"/>
  <c r="H151" i="11"/>
  <c r="H149" i="11"/>
  <c r="H144" i="11"/>
  <c r="H145" i="11"/>
  <c r="J143" i="11"/>
  <c r="H128" i="11"/>
  <c r="J125" i="11"/>
  <c r="J122" i="11"/>
  <c r="H120" i="11"/>
  <c r="H118" i="11"/>
  <c r="H106" i="11"/>
  <c r="H101" i="11"/>
  <c r="H100" i="11"/>
  <c r="H98" i="11"/>
  <c r="H96" i="11"/>
  <c r="T11" i="11"/>
  <c r="U11" i="11" s="1"/>
  <c r="V11" i="11" s="1"/>
  <c r="N88" i="11"/>
  <c r="K88" i="11"/>
  <c r="J80" i="11" l="1"/>
  <c r="L88" i="11"/>
  <c r="L324" i="11" s="1"/>
  <c r="H80" i="11" l="1"/>
  <c r="H62" i="11" l="1"/>
  <c r="H37" i="11"/>
  <c r="H25" i="11"/>
  <c r="H22" i="11"/>
  <c r="H86" i="11"/>
  <c r="J11" i="11" l="1"/>
  <c r="J22" i="11"/>
  <c r="J37" i="11"/>
  <c r="J86" i="11"/>
  <c r="J24" i="11"/>
  <c r="H24" i="11"/>
  <c r="J25" i="11"/>
  <c r="P88" i="11" l="1"/>
  <c r="Q88" i="11"/>
  <c r="T88" i="11"/>
  <c r="T324" i="11" s="1"/>
  <c r="S88" i="11"/>
  <c r="H79" i="11"/>
  <c r="J79" i="11"/>
  <c r="U88" i="11"/>
  <c r="O88" i="11" l="1"/>
  <c r="O89" i="11" s="1"/>
  <c r="O325" i="11" l="1"/>
  <c r="O324" i="11"/>
  <c r="V88" i="11"/>
  <c r="V324" i="11" s="1"/>
  <c r="R88" i="11"/>
  <c r="R324" i="11" s="1"/>
  <c r="D322" i="11"/>
  <c r="H64" i="11" l="1"/>
  <c r="N322" i="11" l="1"/>
  <c r="H87" i="11"/>
  <c r="J77" i="11"/>
  <c r="F73" i="11"/>
  <c r="H60" i="11"/>
  <c r="H45" i="11"/>
  <c r="F88" i="11" l="1"/>
  <c r="F89" i="11" s="1"/>
  <c r="J34" i="11"/>
  <c r="J26" i="11"/>
  <c r="J19" i="11"/>
  <c r="J48" i="11"/>
  <c r="J50" i="11"/>
  <c r="H50" i="11"/>
  <c r="H19" i="11"/>
  <c r="J58" i="11"/>
  <c r="J71" i="11"/>
  <c r="H68" i="11"/>
  <c r="J18" i="11"/>
  <c r="H43" i="11"/>
  <c r="J45" i="11"/>
  <c r="J82" i="11"/>
  <c r="H82" i="11"/>
  <c r="H18" i="11"/>
  <c r="H12" i="11"/>
  <c r="H29" i="11"/>
  <c r="H30" i="11"/>
  <c r="H34" i="11"/>
  <c r="H36" i="11"/>
  <c r="J43" i="11"/>
  <c r="H59" i="11"/>
  <c r="H85" i="11"/>
  <c r="J12" i="11"/>
  <c r="H26" i="11"/>
  <c r="J29" i="11"/>
  <c r="J30" i="11"/>
  <c r="J36" i="11"/>
  <c r="H39" i="11"/>
  <c r="H51" i="11"/>
  <c r="J59" i="11"/>
  <c r="H70" i="11"/>
  <c r="H76" i="11"/>
  <c r="J85" i="11"/>
  <c r="J39" i="11"/>
  <c r="H48" i="11"/>
  <c r="H58" i="11"/>
  <c r="J70" i="11"/>
  <c r="H71" i="11"/>
  <c r="J76" i="11"/>
  <c r="H77" i="11"/>
  <c r="J41" i="11"/>
  <c r="H63" i="11"/>
  <c r="J73" i="11"/>
  <c r="J17" i="11"/>
  <c r="H17" i="11"/>
  <c r="J20" i="11"/>
  <c r="J27" i="11"/>
  <c r="H27" i="11"/>
  <c r="J32" i="11"/>
  <c r="H41" i="11"/>
  <c r="J46" i="11"/>
  <c r="J75" i="11"/>
  <c r="H75" i="11"/>
  <c r="J78" i="11"/>
  <c r="H20" i="11"/>
  <c r="J23" i="11"/>
  <c r="H23" i="11"/>
  <c r="H32" i="11"/>
  <c r="J33" i="11"/>
  <c r="H33" i="11"/>
  <c r="H46" i="11"/>
  <c r="J47" i="11"/>
  <c r="H47" i="11"/>
  <c r="J51" i="11"/>
  <c r="H78" i="11"/>
  <c r="J87" i="11"/>
  <c r="S322" i="11"/>
  <c r="J14" i="11"/>
  <c r="J66" i="11"/>
  <c r="H66" i="11"/>
  <c r="H14" i="11"/>
  <c r="J42" i="11"/>
  <c r="H42" i="11"/>
  <c r="H73" i="11"/>
  <c r="P322" i="11"/>
  <c r="J57" i="11"/>
  <c r="H57" i="11"/>
  <c r="J60" i="11"/>
  <c r="U322" i="11"/>
  <c r="U324" i="11" s="1"/>
  <c r="N324" i="11"/>
  <c r="H88" i="11" l="1"/>
  <c r="J88" i="11"/>
  <c r="M88" i="11"/>
  <c r="S324" i="11"/>
  <c r="H322" i="11"/>
  <c r="J322" i="11"/>
  <c r="P324" i="11"/>
  <c r="Q322" i="11"/>
  <c r="M324" i="11" l="1"/>
  <c r="K324" i="11"/>
  <c r="Q324" i="11"/>
  <c r="B139" i="13" l="1"/>
  <c r="B142" i="13" s="1"/>
</calcChain>
</file>

<file path=xl/sharedStrings.xml><?xml version="1.0" encoding="utf-8"?>
<sst xmlns="http://schemas.openxmlformats.org/spreadsheetml/2006/main" count="773" uniqueCount="675">
  <si>
    <t>Actividades de incidencia social e impacto regional</t>
  </si>
  <si>
    <t>Bienestar institucional de la comunidad educativa</t>
  </si>
  <si>
    <t>Internacionalización</t>
  </si>
  <si>
    <t>Investigación, innovación y extensión</t>
  </si>
  <si>
    <t>Programas académicos</t>
  </si>
  <si>
    <t>Plan de Beneficios Flexibles</t>
  </si>
  <si>
    <t>Política de Estímulos para el Fomento de la Excelencia Universitaria</t>
  </si>
  <si>
    <t>Fecha de inicio del proyecto</t>
  </si>
  <si>
    <t>Fecha de finalización del proyecto</t>
  </si>
  <si>
    <t>Fuente de los recursos</t>
  </si>
  <si>
    <t>x</t>
  </si>
  <si>
    <t>CONSEJO DIRECTIVO UNIVERSITARIO</t>
  </si>
  <si>
    <t>INGRESOS OPERACIONALES</t>
  </si>
  <si>
    <t>MATRICULAS</t>
  </si>
  <si>
    <t>ASIGNATURAS DE LIBRE ESCOGENCIA</t>
  </si>
  <si>
    <t>EDUCACION CONTINUA</t>
  </si>
  <si>
    <t>OTROS INGRESOS CONEXOS CON LA EDUCACION</t>
  </si>
  <si>
    <t>INGRESOS SERVICIOS UNIVERSITARIOS</t>
  </si>
  <si>
    <t>GASTOS OPERACIONALES</t>
  </si>
  <si>
    <t>GASTOS DE PERSONAL</t>
  </si>
  <si>
    <t>HONORARIOS</t>
  </si>
  <si>
    <t>IMPUESTOS</t>
  </si>
  <si>
    <t>ARRENDAMIENTOS</t>
  </si>
  <si>
    <t>CONTRIBUCIONES Y AFILIACIONES</t>
  </si>
  <si>
    <t>SEGUROS</t>
  </si>
  <si>
    <t>SERVICIOS</t>
  </si>
  <si>
    <t>GASTOS LEGALES</t>
  </si>
  <si>
    <t>MANTENIMIENTO Y REPARACIONES</t>
  </si>
  <si>
    <t>GASTOS DE VIAJE</t>
  </si>
  <si>
    <t>DEPRECIACIONES</t>
  </si>
  <si>
    <t>DIVERSOS</t>
  </si>
  <si>
    <t>PROVISIONES</t>
  </si>
  <si>
    <t>COSTO DE VENTAS</t>
  </si>
  <si>
    <t>INGRESOS NO OPERACIONALES</t>
  </si>
  <si>
    <t>INGRESOS (FINANCIEROS)</t>
  </si>
  <si>
    <t>INGRESOS (NO FINANCIEROS)</t>
  </si>
  <si>
    <t>GASTOS NO OPERACIONALES</t>
  </si>
  <si>
    <t>GASTOS DIVERSOS</t>
  </si>
  <si>
    <t>GASTOS EXTRAORDINARIOS</t>
  </si>
  <si>
    <t>GASTOS FINANCIEROS</t>
  </si>
  <si>
    <t>Resultado operacional</t>
  </si>
  <si>
    <t>Resultado no operacional</t>
  </si>
  <si>
    <t>Total Resultado</t>
  </si>
  <si>
    <t>PONTIFICIA UNIVERSIDAD JAVERIANA</t>
  </si>
  <si>
    <t>INFORMACIÓN POR PROYECTOS</t>
  </si>
  <si>
    <t>PROGRAMA</t>
  </si>
  <si>
    <t>% Incremento</t>
  </si>
  <si>
    <t>DISEÑO INDUSTRIAL</t>
  </si>
  <si>
    <t>BACTERIOLOGÍA</t>
  </si>
  <si>
    <t>BIOLOGÍA</t>
  </si>
  <si>
    <t>NUTRICIÓN Y DIETÉTICA</t>
  </si>
  <si>
    <t>MICROBIOLOGÍA INDUSTRIAL</t>
  </si>
  <si>
    <t>MATEMÁTICAS</t>
  </si>
  <si>
    <t>ECONOMÍA</t>
  </si>
  <si>
    <t>CONTADURÍA PUBLICA NOCTURNO</t>
  </si>
  <si>
    <t>CONTADURÍA PUBLICA DIURNA</t>
  </si>
  <si>
    <t>COMUNICACIÓN SOCIAL</t>
  </si>
  <si>
    <t>ENFERMERÍA</t>
  </si>
  <si>
    <t>ESTUDIOS MUSICALES</t>
  </si>
  <si>
    <t>ARTES VISUALES</t>
  </si>
  <si>
    <t>ARTES ESCÉNICAS</t>
  </si>
  <si>
    <t>HISTORIA</t>
  </si>
  <si>
    <t>ESTUDIOS LITERARIOS</t>
  </si>
  <si>
    <t>ANTROPOLOGÍA</t>
  </si>
  <si>
    <t>SOCIOLOGÍA</t>
  </si>
  <si>
    <t>FILOSOFÍA</t>
  </si>
  <si>
    <t>LICENCIATURA EN FILOSOFÍA</t>
  </si>
  <si>
    <t>INGENIERÍA CIVIL</t>
  </si>
  <si>
    <t>INGENIERÍA ELECTRÓNICA</t>
  </si>
  <si>
    <t>INGENIERÍA INDUSTRIAL</t>
  </si>
  <si>
    <t>INGENIERÍA DE SISTEMAS</t>
  </si>
  <si>
    <t>PSICOLOGÍA</t>
  </si>
  <si>
    <t>RELACIONES INTERNACIONALES</t>
  </si>
  <si>
    <t>ECOLOGÍA</t>
  </si>
  <si>
    <t>TEOLOGÍA</t>
  </si>
  <si>
    <t>LICENCIATURA EN TEOLOGÍA</t>
  </si>
  <si>
    <t>LICENCIATURA EN CIENCIAS RELIGIOSAS</t>
  </si>
  <si>
    <t>FACULTAD DE EDUCACIÓN</t>
  </si>
  <si>
    <t>LICENCIATURA EN EDUCACIÓN BÁSICA CON ÉNFASIS EN HUMANIDADES Y LENGUA CASTELLANA</t>
  </si>
  <si>
    <t>MAESTRÍA EN PLANEACIÓN URBANA Y REGIONAL</t>
  </si>
  <si>
    <t>ESPECIALIZACIÓN EN DISEÑO Y GERENCIA DE PRODUCTO PARA LA EXPORTACIÓN</t>
  </si>
  <si>
    <t>ESPECIALIZACIÓN EN ANÁLISIS QUÍMICO INSTRUMENTAL</t>
  </si>
  <si>
    <t>MAESTRÍA EN CIENCIAS BIOLÓGICAS</t>
  </si>
  <si>
    <t>DOCTORADO EN CIENCIAS BIOLÓGICAS</t>
  </si>
  <si>
    <t>MAESTRÍA EN FÍSICA MÉDICA</t>
  </si>
  <si>
    <t>MAESTRÍA EN BIOÉTICA</t>
  </si>
  <si>
    <t>ESPECIALIZACIÓN EN ECONOMÍA PARA NO ECONOMISTAS</t>
  </si>
  <si>
    <t>MAESTRÍA EN ADMINISTRACIÓN DE SALUD</t>
  </si>
  <si>
    <t>ESPECIALIZACIÓN EN GERENCIA DE LA CALIDAD DE LOS SERVICIOS DE SALUD</t>
  </si>
  <si>
    <t>ESPECIALIZACIÓN EN GERENCIA FINANCIERA</t>
  </si>
  <si>
    <t>ESPECIALIZACIÓN EN GERENCIA INTERNACIONAL</t>
  </si>
  <si>
    <t>ESPECIALIZACIÓN EN REVISORÍA FISCAL</t>
  </si>
  <si>
    <t>ESPECIALIZACIÓN EN CONTABILIDAD FINANCIERA INTERNACIONAL - PEREIRA</t>
  </si>
  <si>
    <t>ESPECIALIZACIÓN EN CONTABILIDAD FINANCIERA INTERNACIONAL - BARRANQUILLA</t>
  </si>
  <si>
    <t>ESPECIALIZACIÓN EN CONTABILIDAD GERENCIAL</t>
  </si>
  <si>
    <t>ESPECIALIZACIÓN EN ASEGURAMIENTO Y CONTROL INTERNO</t>
  </si>
  <si>
    <t>MAESTRÍA EN DESARROLLO RURAL</t>
  </si>
  <si>
    <t>DOCTORADO EN ESTUDIOS AMBIENTALES Y RURALES</t>
  </si>
  <si>
    <t>MAESTRÍA EN CONSERVACIÓN Y USO DE BIODIVERSIDAD</t>
  </si>
  <si>
    <t>ESPECIALIZACIÓN EN COMUNICACIÓN ORGANIZACIONAL</t>
  </si>
  <si>
    <t>MAESTRÍA EN LINGÜÍSTICA APLICADA DEL ESPAÑOL COMO LENGUA EXTRANJERA</t>
  </si>
  <si>
    <t>DOCTORADO EN CIENCIAS JURÍDICAS</t>
  </si>
  <si>
    <t>MAESTRÍA EN DERECHO ECONÓMICO</t>
  </si>
  <si>
    <t>MAESTRÍA EN DERECHO CONSTITUCIONAL</t>
  </si>
  <si>
    <t>MAESTRÍA EN DERECHO ADMINISTRATIVO</t>
  </si>
  <si>
    <t>ESPECIALIZACIÓN EN DERECHO TRIBUTARIO</t>
  </si>
  <si>
    <t>ESPECIALIZACIÓN EN DERECHO LABORAL</t>
  </si>
  <si>
    <t>ESPECIALIZACIÓN EN DERECHO COMERCIAL</t>
  </si>
  <si>
    <t>ESPECIALIZACIÓN EN DERECHO DE SEGUROS</t>
  </si>
  <si>
    <t>ESPECIALIZACIÓN EN DERECHO DE FAMILIA</t>
  </si>
  <si>
    <t>ESPECIALIZACIÓN EN DERECHO URBANÍSTICO</t>
  </si>
  <si>
    <t>ESPECIALIZACIÓN EN DERECHO DE SEGUROS - MEDELLÍN</t>
  </si>
  <si>
    <t>ESPECIALIZACIÓN EN DERECHO DE LA SEGURIDAD SOCIAL</t>
  </si>
  <si>
    <t>ESPECIALIZACIÓN EN DERECHO DE SOCIEDADES</t>
  </si>
  <si>
    <t>ESPECIALIZACIÓN EN DERECHO ADMINISTRATIVO</t>
  </si>
  <si>
    <t>ESPECIALIZACIÓN EN ENFERMERÍA PEDIÁTRICA</t>
  </si>
  <si>
    <t>MAESTRÍA EN CUIDADO DE ENFERMERÍA AL ADULTO MAYOR</t>
  </si>
  <si>
    <t>MAESTRÍA EN ENFERMERÍA EN CUIDADO PALIATIVO</t>
  </si>
  <si>
    <t>MAESTRÍA EN ENFERMERÍA ONCOLÓGICA</t>
  </si>
  <si>
    <t>MAESTRÍA EN MÚSICA</t>
  </si>
  <si>
    <t>MAESTRÍA EN CREACIÓN AUDIOVISUAL</t>
  </si>
  <si>
    <t>MAESTRÍA EN LITERATURA</t>
  </si>
  <si>
    <t>MAESTRÍA EN HISTORIA</t>
  </si>
  <si>
    <t>MAESTRÍA EN ESTUDIOS CULTURALES</t>
  </si>
  <si>
    <t>DOCTORADO EN CIENCIAS SOCIALES Y HUMANAS</t>
  </si>
  <si>
    <t>MAESTRÍA EN FILOSOFÍA</t>
  </si>
  <si>
    <t>ESPECIALIZACIÓN EN GERENCIA DE CONSTRUCCIONES</t>
  </si>
  <si>
    <t>ESPECIALIZACIÓN EN SISTEMAS GERENCIALES DE INGENIERÍA</t>
  </si>
  <si>
    <t>ESPECIALIZACIÓN EN ARQUITECTURA EMPRESARIAL DE SOFTWARE</t>
  </si>
  <si>
    <t>MAESTRÍA EN HIDROSISTEMAS</t>
  </si>
  <si>
    <t>MAESTRÍA EN INGENIERÍA INDUSTRIAL</t>
  </si>
  <si>
    <t>DOCTORADO EN INGENIERÍA</t>
  </si>
  <si>
    <t>MAESTRÍA EN INGENIERÍA DE SISTEMAS Y COMPUTACIÓN</t>
  </si>
  <si>
    <t>ESPECIALIZACIÓN EN NEFROLOGÍA</t>
  </si>
  <si>
    <t>ESPECIALIZACIÓN EN NEUROLOGÍA</t>
  </si>
  <si>
    <t>ESPECIALIZACIÓN EN NEUROCIRUGÍA</t>
  </si>
  <si>
    <t>MAESTRÍA EN BIOESTADÍSTICA</t>
  </si>
  <si>
    <t>ESPECIALIZACIÓN EN GINECOLOGÍA Y OBSTETRICIA</t>
  </si>
  <si>
    <t>ESPECIALIZACIÓN EN ANESTESIOLOGÍA</t>
  </si>
  <si>
    <t>ESPECIALIZACIÓN EN NEUMOLOGÍA</t>
  </si>
  <si>
    <t>ESPECIALIZACIÓN EN OFTALMOLOGÍA</t>
  </si>
  <si>
    <t>ESPECIALIZACIÓN EN ORTOPEDIA Y TRAUMATOLOGÍA</t>
  </si>
  <si>
    <t>ESPECIALIZACIÓN EN CIRUGÍA CARDIOVASCULAR</t>
  </si>
  <si>
    <t>ESPECIALIZACIÓN EN UROLOGÍA</t>
  </si>
  <si>
    <t>ESPECIALIZACIÓN EN ENDOCRINOLOGÍA</t>
  </si>
  <si>
    <t>ESPECIALIZACIÓN EN CARDIOLOGÍA</t>
  </si>
  <si>
    <t>MAESTRÍA EN PSICOLOGÍA CLÍNICA</t>
  </si>
  <si>
    <t>ESPECIALIZACIÓN EN ENDODONCIA</t>
  </si>
  <si>
    <t>ESPECIALIZACIÓN EN PATOLOGÍA Y CIRUGÍA BUCAL</t>
  </si>
  <si>
    <t>ESPECIALIZACIÓN EN ORTODONCIA</t>
  </si>
  <si>
    <t>ESPECIALIZACIÓN EN PERIODONCIA</t>
  </si>
  <si>
    <t>ESPECIALIZACIÓN EN REHABILITACIÓN ORAL</t>
  </si>
  <si>
    <t>ESPECIALIZACIÓN EN ODONTOPEDIATRIA</t>
  </si>
  <si>
    <t>ESPECIALIZACIÓN EN CIRUGÍA MAXILOFACIAL</t>
  </si>
  <si>
    <t>MAESTRÍA EN DERECHO CANÓNICO</t>
  </si>
  <si>
    <t>MAESTRÍA EN POLÍTICA SOCIAL</t>
  </si>
  <si>
    <t>ESPECIALIZACIÓN EN RESOLUCIÓN DE CONFLICTOS</t>
  </si>
  <si>
    <t>MAESTRÍA EN ESTUDIOS DE PAZ Y RESOLUCIÓN DE CONFLICTOS</t>
  </si>
  <si>
    <t>MAESTRÍA EN TEOLOGÍA</t>
  </si>
  <si>
    <t>DOCTORADO EN TEOLOGÍA</t>
  </si>
  <si>
    <t>MAESTRÍA EN EDUCACIÓN</t>
  </si>
  <si>
    <t>Traducción de diplomas del latín</t>
  </si>
  <si>
    <t>Derechos de Inscripción Maestría en Administración (MBA)</t>
  </si>
  <si>
    <t>Instituto de Bioética Servicio de cursos especiales (tutoriales) para estudiantes de la Universidad</t>
  </si>
  <si>
    <t>Preparatorio (repetición de examen o primer examen preparatorio de estudiante que incumplió)</t>
  </si>
  <si>
    <t>Examen de Clasificación en lengua extranjera por segunda vez</t>
  </si>
  <si>
    <t xml:space="preserve">Descuento del 50% en la matrícula a  estudiantes en práctica en el exterior </t>
  </si>
  <si>
    <t>Servicio de Atención Integral a Estudiantes Javerianos - ENLACE</t>
  </si>
  <si>
    <t>Apoyo a empleados para estudios de pregrado y posgrado</t>
  </si>
  <si>
    <t>Incremento</t>
  </si>
  <si>
    <t>Resultado Financiero</t>
  </si>
  <si>
    <t>Resutado no Financiero</t>
  </si>
  <si>
    <t>Total Resultado no Operacional</t>
  </si>
  <si>
    <t>Cifras en pesos</t>
  </si>
  <si>
    <t>% Segunda Fecha de Pago</t>
  </si>
  <si>
    <t xml:space="preserve">Valor Segunda Fecha de Pago </t>
  </si>
  <si>
    <t>% Tercera Fecha de Pago</t>
  </si>
  <si>
    <t xml:space="preserve">Valor Tercera Fecha de Pago </t>
  </si>
  <si>
    <t>MAESTRÍA EN DISEÑO PARA LA INNOVACIÓN DE PRODUCTOS Y SERVICIOS</t>
  </si>
  <si>
    <t>ESPECIALIZACIÓN EN HEMATOLOGÍA EN EL LABORATORIO CLÍNICO Y MANEJO DEL BANCO DE SANGRE</t>
  </si>
  <si>
    <t>ESPECIALIZACIÓN EN CONTABILIDAD FINANCIERA INTERNACIONAL - BOGOTA</t>
  </si>
  <si>
    <t>MAESTRÍA EN ECONOMÍA DE LA SALUD</t>
  </si>
  <si>
    <t>MAESTRÍA EN GERENCIA DE LA RESPONSABILIDAD SOCIAL Y SOSTENIBILIDAD EMPRESARIAL</t>
  </si>
  <si>
    <t>MAESTRÍA EN ARCHIVÍSTICA HISTÓRICA Y MEMORIA</t>
  </si>
  <si>
    <t>ESPECIALIZACIÓN EN DERECHO MÉDICO</t>
  </si>
  <si>
    <t>ESPECIALIZACIÓN EN DERECHO SUSTANTIVO Y CONTENCIOSO CONSTITUCIONAL</t>
  </si>
  <si>
    <t>ESPECIALIZACIÓN EN ENFERMERÍA EN CUIDADO CRÍTICO</t>
  </si>
  <si>
    <t>MAESTRÍA EN SEGURIDAD Y SALUD EN EL TRABAJO</t>
  </si>
  <si>
    <t>ESPECIALIZACIÓN EN GEOTECNIA VIAL Y PAVIMENTOS</t>
  </si>
  <si>
    <t>ESPECIALIZACIÓN EN INGENIERÍA DE OPERACIONES EN MANUFACTURA Y SERVICIOS</t>
  </si>
  <si>
    <t>ESPECIALIZACIÓN EN TECNOLOGÍA DE LA CONSTRUCCIÓN EN EDIFICACIONES</t>
  </si>
  <si>
    <t>MAESTRÍA EN BIOINGENIERÍA</t>
  </si>
  <si>
    <t>MAESTRÍA EN INGENIERÍA CIVIL</t>
  </si>
  <si>
    <t>MAESTRÍA EN INGENIERÍA ELECTRÓNICA</t>
  </si>
  <si>
    <t>DOCTORADO EN EPIDEMIOLOGíA CLÍNICA</t>
  </si>
  <si>
    <t>ESPECIALIZACIÓN EN GENÉTICA MÉDICA</t>
  </si>
  <si>
    <t>ESPECIALIZACIÓN EN DERMATOLOGÍA</t>
  </si>
  <si>
    <t>ESPECIALIZACIÓN EN GOBIERNO Y GESTIÓN PÚBLICA TERRITORIALES</t>
  </si>
  <si>
    <t>ESPECIALIZACIÓN EN GOBIERNO Y GESTIÓN PÚBLICA TERRITORIALES - BARRANQUILLA</t>
  </si>
  <si>
    <t>ESPECIALIZACIÓN EN OPINIÓN PÚBLICA Y MERCADEO POLÍTICO</t>
  </si>
  <si>
    <t>MAESTRÍA EN ESTUDIOS POLÍTICOS</t>
  </si>
  <si>
    <t>MAESTRÍA EN GOBIERNO DEL TERRITORIO Y GESTIÓN PÚBLICA</t>
  </si>
  <si>
    <t>INSTITUTO DE SALUD PÚBLICA</t>
  </si>
  <si>
    <t>MAESTRÍA EN SALUD PÚBLICA</t>
  </si>
  <si>
    <t>No. Créditos</t>
  </si>
  <si>
    <t>Con IPC</t>
  </si>
  <si>
    <t>Ingresos sin incremento Primer Periodo</t>
  </si>
  <si>
    <t>Mayor (Menor) valor Primer Periodo</t>
  </si>
  <si>
    <t>Ingresos sin incremento Segundo Periodo</t>
  </si>
  <si>
    <t>Total mayor (menor) valor al IPC</t>
  </si>
  <si>
    <t>FACULTAD ARQUITECTURA Y DISEÑO</t>
  </si>
  <si>
    <t xml:space="preserve">FACULTAD CIENCIAS </t>
  </si>
  <si>
    <t>FACULTAD CIENCIAS ECONÓMICAS Y ADMINISTRATIVAS</t>
  </si>
  <si>
    <t>FACULTAD COMUNICACIÓN  Y LENGUAJE</t>
  </si>
  <si>
    <t xml:space="preserve">FACULTAD CIENCIAS JURÍDICAS </t>
  </si>
  <si>
    <t>FACULTAD ENFERMERÍA</t>
  </si>
  <si>
    <t>FACULTAD ARTES</t>
  </si>
  <si>
    <t>FACULTAD CIENCIAS SOCIALES</t>
  </si>
  <si>
    <t>FACULTAD FILOSOFÍA</t>
  </si>
  <si>
    <t>FACULTAD INGENIERÍA</t>
  </si>
  <si>
    <t>FACULTAD MEDICINA</t>
  </si>
  <si>
    <t>FACULTAD PSICOLOGÍA</t>
  </si>
  <si>
    <t>FACULTAD ODONTOLOGIA</t>
  </si>
  <si>
    <t>FACULTAD ESTUDIOS AMBIENTALES</t>
  </si>
  <si>
    <t>FACULTAD TEOLOGÍA</t>
  </si>
  <si>
    <t xml:space="preserve">PREGRADO </t>
  </si>
  <si>
    <t>TOTAL PREGRADO</t>
  </si>
  <si>
    <t>% PROMEDIO DE INCREMENTO DE MATRÍCULAS PREGRADO</t>
  </si>
  <si>
    <t>POSGRADO</t>
  </si>
  <si>
    <t>FACULTAD CIENCIAS</t>
  </si>
  <si>
    <t>FACULTAD CIENCIAS JURÍDICAS</t>
  </si>
  <si>
    <t>FACULTAD DERECHO CANÓNICO</t>
  </si>
  <si>
    <t>FACULTAD CIENCIAS POLIT. Y REL. INTERNACIONALES</t>
  </si>
  <si>
    <t>TOTAL POSGRADO</t>
  </si>
  <si>
    <t>% PROMEDIO DE INCREMENTO DE MATRÍCULAS POSGRADO</t>
  </si>
  <si>
    <t>TOTAL PONTIFICIA UNIVERSIDAD JAVERIANA</t>
  </si>
  <si>
    <t>% PROMEDIO DE INCREMENTO DE MATRÍCULAS PUJ</t>
  </si>
  <si>
    <t>Fuente: Dirección Financiera – Vicerrectoría Administrativa, Pontificia Universidad Javeriana - Sede Central.</t>
  </si>
  <si>
    <t xml:space="preserve">SEDE CENTRAL </t>
  </si>
  <si>
    <t>Apoyo a estudiantes que desarrollan prácticas sociales en diversos territorios del país, en coordinación con por Obras de la Compañía de Jesús que hacen presencia a nivel nacional</t>
  </si>
  <si>
    <t>Auxilio de matrícula de hijos de profesores y empleados administrativos de tiempo completo</t>
  </si>
  <si>
    <t>Programas de crecimiento personal para el cuerpo administrativo de la Universidad</t>
  </si>
  <si>
    <t xml:space="preserve">Plan de Regularización y manejo (Alameda Oriental y e Intervención sobre carrera séptima por el Proyectos Troncal de Transmilenio (en estudio con el IDU) </t>
  </si>
  <si>
    <t>Renovación de los esquemas de licenciamiento de software institucional</t>
  </si>
  <si>
    <r>
      <rPr>
        <b/>
        <sz val="11"/>
        <color theme="1"/>
        <rFont val="Calibri"/>
        <family val="2"/>
        <scheme val="minor"/>
      </rPr>
      <t>Nota:</t>
    </r>
    <r>
      <rPr>
        <sz val="11"/>
        <color theme="1"/>
        <rFont val="Calibri"/>
        <family val="2"/>
        <scheme val="minor"/>
      </rPr>
      <t xml:space="preserve"> Debido a que en el presupuesto de la Universidad se aplica el principio de unidad de caja, no es posible presentar discriminado el monto de la inversión según la fuente de los recursos. </t>
    </r>
  </si>
  <si>
    <t>INVESTIGACION, CONSULTORIA Y OTROS PROYECTOS</t>
  </si>
  <si>
    <t>Proyecto</t>
  </si>
  <si>
    <t xml:space="preserve">1.1. </t>
  </si>
  <si>
    <t>1.2.</t>
  </si>
  <si>
    <t>1.3.</t>
  </si>
  <si>
    <t>1.4.</t>
  </si>
  <si>
    <t>1.5.</t>
  </si>
  <si>
    <t>1.6.</t>
  </si>
  <si>
    <t>2.1.</t>
  </si>
  <si>
    <t>2.2.</t>
  </si>
  <si>
    <t>2.3.</t>
  </si>
  <si>
    <t>2.4.</t>
  </si>
  <si>
    <t>2.5.</t>
  </si>
  <si>
    <t>2.6.</t>
  </si>
  <si>
    <t>2.7.</t>
  </si>
  <si>
    <t>2.8.</t>
  </si>
  <si>
    <t>2.9.</t>
  </si>
  <si>
    <t>2.10.</t>
  </si>
  <si>
    <t>2.11.</t>
  </si>
  <si>
    <t>2.12.</t>
  </si>
  <si>
    <t>2.13.</t>
  </si>
  <si>
    <t>2.14.</t>
  </si>
  <si>
    <t>2.15.</t>
  </si>
  <si>
    <t>2.16.</t>
  </si>
  <si>
    <t>2.17.</t>
  </si>
  <si>
    <t>2.18.</t>
  </si>
  <si>
    <t>Cualificación docentes</t>
  </si>
  <si>
    <t>3.1.</t>
  </si>
  <si>
    <t>3.2.</t>
  </si>
  <si>
    <t>3.3.</t>
  </si>
  <si>
    <t>3.4.</t>
  </si>
  <si>
    <t>4.1.</t>
  </si>
  <si>
    <t>4.2.</t>
  </si>
  <si>
    <t>4.3.</t>
  </si>
  <si>
    <t>4.4.</t>
  </si>
  <si>
    <t>4.5.</t>
  </si>
  <si>
    <t>4.7.</t>
  </si>
  <si>
    <t>4.9.</t>
  </si>
  <si>
    <t>4.10.</t>
  </si>
  <si>
    <t>7.1.</t>
  </si>
  <si>
    <t>7.2.</t>
  </si>
  <si>
    <t>7.3.</t>
  </si>
  <si>
    <t>7.4.</t>
  </si>
  <si>
    <t>7.5.</t>
  </si>
  <si>
    <t>7.6.</t>
  </si>
  <si>
    <t>7.7.</t>
  </si>
  <si>
    <t>7.8.</t>
  </si>
  <si>
    <t>10.1.</t>
  </si>
  <si>
    <t>11.1.</t>
  </si>
  <si>
    <t>11.2.</t>
  </si>
  <si>
    <t>11.3.</t>
  </si>
  <si>
    <t>11.4.</t>
  </si>
  <si>
    <t>11.5.</t>
  </si>
  <si>
    <t>11.6.</t>
  </si>
  <si>
    <t>11.7.</t>
  </si>
  <si>
    <t xml:space="preserve">Otras líneas de inversión </t>
  </si>
  <si>
    <t>12.1.</t>
  </si>
  <si>
    <t xml:space="preserve">La numeración de las categorías de los proyectos de inversión corresponde a la registrada en la plantilla SNIES para tal fin.  </t>
  </si>
  <si>
    <t xml:space="preserve">Código Línea de inversión </t>
  </si>
  <si>
    <t>5.1.</t>
  </si>
  <si>
    <t>5.2.</t>
  </si>
  <si>
    <t>5.3.</t>
  </si>
  <si>
    <t>5.4.</t>
  </si>
  <si>
    <t>5.5.</t>
  </si>
  <si>
    <t>5.6.</t>
  </si>
  <si>
    <t>5.7.</t>
  </si>
  <si>
    <t>5.9.</t>
  </si>
  <si>
    <t>5.10.</t>
  </si>
  <si>
    <t>5.11.</t>
  </si>
  <si>
    <t>5.12.</t>
  </si>
  <si>
    <t>5.13.</t>
  </si>
  <si>
    <t xml:space="preserve">Otras fuentes </t>
  </si>
  <si>
    <t>Recursos propios</t>
  </si>
  <si>
    <t>Créditos nuevos</t>
  </si>
  <si>
    <t xml:space="preserve">Ingresos adicionales </t>
  </si>
  <si>
    <t>SEDE CENTRAL (BOGOTÁ – CODIFICACIÓN SNIES 1701)</t>
  </si>
  <si>
    <t>Mayor (Menor) valor Tercer Periodo</t>
  </si>
  <si>
    <t>CIENCIA POLÍTICA</t>
  </si>
  <si>
    <t>LICENCIATURA EN TEOLOGÍA EXTENSIÓN TUNJA</t>
  </si>
  <si>
    <t>LICENCIATURA EN EDUCACIÓN INFANTIL</t>
  </si>
  <si>
    <t>MAESTRÍA EN MATEMÁTICAS</t>
  </si>
  <si>
    <t>ESPECIALIZACIÓN EN NEONATOLOGÍA</t>
  </si>
  <si>
    <t>MAESTRÍA EN ABORDAJES PSICOSOCIALES PARA LA CONSTRUCCIÓN DE CULTURAS DE PAZ</t>
  </si>
  <si>
    <t>DOCTORADO EN PSICOLOGÍA</t>
  </si>
  <si>
    <t>MAESTRIA EN ESTUDIOS CONTEMPORÁNEOS DE AMÉRICA LATINA</t>
  </si>
  <si>
    <t>MAESTRÍA EN ENFERMERÍA EN CUIDADO CRÍTICO</t>
  </si>
  <si>
    <t>TOTAL</t>
  </si>
  <si>
    <t>DONACIONES</t>
  </si>
  <si>
    <t>MEDICINA (Primera cohorte)</t>
  </si>
  <si>
    <t>MEDICINA (Segunda cohorte)</t>
  </si>
  <si>
    <t>LICENCIATURA EN LENGUAS MODERNAS CON ÉNFASIS EN INGLÉS Y FRANCÉS</t>
  </si>
  <si>
    <t>MAESTRÍA EN ENERGÍA Y SOSTENIBILIDAD</t>
  </si>
  <si>
    <t>MAESTRÍA EN EPIDEMIOLOGíA CLÍNICA EXTENSIÓN CALI</t>
  </si>
  <si>
    <t>ESPECIALIZACIÓN EN CIRUGÍA DE MANO</t>
  </si>
  <si>
    <t>MAESTRÍA EN DERECHO LABORAL Y DE LA SEGURIDAD SOCIAL</t>
  </si>
  <si>
    <t xml:space="preserve">ESPECIALIZACIÓN EN LITERATURA INFANTIL Y JUVENIL </t>
  </si>
  <si>
    <t>BACHILLER ECLESIÁSTICO TEOLOGÍA</t>
  </si>
  <si>
    <t>DOCTORADO EN DERECHO CANÓNICO</t>
  </si>
  <si>
    <t>LICENCIATURA ECLESIÁSTICA EN DERECHO CANONICO</t>
  </si>
  <si>
    <t>LICENCIATURA ECLESIÁSTICA EN TEOLOGIA</t>
  </si>
  <si>
    <t>DOCTORADO ECLESIÁSTICO EN TEOLOGIA</t>
  </si>
  <si>
    <t>MEDICINA (Tercera cohorte)</t>
  </si>
  <si>
    <t>LICENCIATURA EN EDUCACIÓN FÍSICA</t>
  </si>
  <si>
    <t>ADMINISTRACIÓN DE EMPRESAS NOCTURNA (Primera cohorte)</t>
  </si>
  <si>
    <t>ADMINISTRACIÓN DE EMPRESAS NOCTURNA (Segunda cohorte)</t>
  </si>
  <si>
    <t>ADMINISTRACIÓN DE EMPRESAS NOCTURNA (Tercera cohorte)</t>
  </si>
  <si>
    <t>ADMINISTRACIÓN DE EMPRESAS DIURNA (Primera cohorte)</t>
  </si>
  <si>
    <t>ADMINISTRACIÓN DE EMPRESAS DIURNA (Segunda cohorte)</t>
  </si>
  <si>
    <t>DERECHO (Primera cohorte)</t>
  </si>
  <si>
    <t>DERECHO (Segunda cohorte)</t>
  </si>
  <si>
    <t>BACHILLER ECLESIÁSTICO TEOLOGÍA VIRTUAL</t>
  </si>
  <si>
    <t>DOCTORADO EN CIENCIA Y TECNOLOGÍA DE MATERIALES</t>
  </si>
  <si>
    <t>MAESTRÍA EN RESTAURACIÓN ECOLÓGICA</t>
  </si>
  <si>
    <t>MAESTRÍA EN ADMINISTRACIÓN - (Tercera Cohorte)</t>
  </si>
  <si>
    <t>MAESTRÍA EN ADMINISTRACIÓN EJECUTIVA - (Segunda Cohorte)</t>
  </si>
  <si>
    <t>DOCTORADO EN COMUNICACIÓN, LENGUAJES E INFORMACIÓN</t>
  </si>
  <si>
    <t>MAESTRÍA ESTUDIOS AFROCOLOMBIANOS - CARTAGENA</t>
  </si>
  <si>
    <t>MAESTRÍA ESTUDIOS AFROCOLOMBIANOS - BOGOTÁ</t>
  </si>
  <si>
    <t>MAESTRÍA EN ESTUDIOS CULTURALES LATINOAMERICANOS - Virtual</t>
  </si>
  <si>
    <t>MAESTRÍA EN NIÑEZ, FAMILIA Y DESARROLLO EN CONTEXTOS</t>
  </si>
  <si>
    <t>MAESTRÍA EN LOGÍSTICA Y TRANSPORTE</t>
  </si>
  <si>
    <t>ESPECIALIZACIÓN EN ADMINISTRACIÓN DE SALUD</t>
  </si>
  <si>
    <t>MAESTRÍA EN ESTUDIOS INTERNACIONALES</t>
  </si>
  <si>
    <t>Resultado operacional neto de proyectos</t>
  </si>
  <si>
    <t>Total resultado operacional</t>
  </si>
  <si>
    <t>Nota: Hay estudiantes que pagan media matrícula, de múltiple programa, con becas, descuentos y posibles devoluciones, el  ingreso total estimado por matrículas para cada periodo no es igual a la multiplicación del número de estudiantes estimado por el valor de la matrícula.</t>
  </si>
  <si>
    <t>Valor Matrícula 2021</t>
  </si>
  <si>
    <t>CIENCIA DE LA INFORMACIÓN, BIBLIOTECOLOGÍA Y ARCHIVÍSTICA</t>
  </si>
  <si>
    <t>BIOINGENIERÍA</t>
  </si>
  <si>
    <t>INGENIERÍA MECÁNICA</t>
  </si>
  <si>
    <t>INGENIERÍA MECATRÓNICA</t>
  </si>
  <si>
    <t>INGENIERÍA EN REDES Y TELECOMUNICACIONES</t>
  </si>
  <si>
    <t>QUÍMICA FARMACÉUTICA</t>
  </si>
  <si>
    <t>FINANZAS</t>
  </si>
  <si>
    <t>LICENCIATURA EN CIENCIAS NATURALES Y EDUCACIÓN AMBIENTAL</t>
  </si>
  <si>
    <t>LICENCIATURA EN LITERATURA Y LENGUA CASTELLANA</t>
  </si>
  <si>
    <t>MAESTRÍA EN PAISAJES ARTIFICIALES</t>
  </si>
  <si>
    <t>MAESTRÍA EN CIENCIAS DEL LABORATORIO CLÍNICO</t>
  </si>
  <si>
    <t>ESPECIALIZACIÓN EN ASEGURAMIENTO Y CONTROL INTERNO - BUCARAMANGA</t>
  </si>
  <si>
    <t>ESPECIALIZACIÓN EN CONTABILIDAD FINANCIERA INTERNACIONAL - BUCARAMANGA</t>
  </si>
  <si>
    <t>MAESTRÍA EN BANCA Y FINANZAS</t>
  </si>
  <si>
    <t xml:space="preserve">MAESTRÍA EN ECONOMÍA </t>
  </si>
  <si>
    <t>MAESTRÍA EN ESTRATEGIA, INNOVACIÓN Y COMPETITIVIDAD</t>
  </si>
  <si>
    <t>ESPECIALIZACIÓN EN GESTIÓN DE EMPRESAS DE LA ECONOMÍA SOCIAL Y SOLIDARIA</t>
  </si>
  <si>
    <t>ESPECIALIZACIÓN EN DERECHO DE LA COMPETENCIA - CALI</t>
  </si>
  <si>
    <t>ESPECIALIZACIÓN EN DERECHO URBANÍSTICO - BUCARAMANGA</t>
  </si>
  <si>
    <t>MAESTRÍA EN DERECHO DE SEGUROS</t>
  </si>
  <si>
    <t>DOCTORADO EN FILOSOFÍA (Primera Cohorte)</t>
  </si>
  <si>
    <t>DOCTORADO EN FILOSOFÍA (Segunda Cohorte)</t>
  </si>
  <si>
    <t>MAESTRÍA EN INGENIERÍA DEL INTERNET DE LAS COSAS</t>
  </si>
  <si>
    <t>MAESTRÍA EN INTELIGENCIA ARTIFICIAL</t>
  </si>
  <si>
    <t>MAESTRÍA EN SEGURIDAD DIGITAL</t>
  </si>
  <si>
    <t>ESPECIALIZACIÓN EN CIRUGÍA GENERAL (PRIMERA COHORTE)</t>
  </si>
  <si>
    <t>ESPECIALIZACIÓN EN CIRUGÍA GENERAL (SEGUNDA COHORTE)</t>
  </si>
  <si>
    <t>ESPECIALIZACIÓN EN GERIATRÍA  (PRIMERA COHORTE)</t>
  </si>
  <si>
    <t>ESPECIALIZACIÓN EN GERIATRÍA (SEGUNDA COHORTE)</t>
  </si>
  <si>
    <t>ESPECIALIZACIÓN EN MEDICINA CRÍTICA Y CUIDADO INTENSIVO (PRIMERA COHORTE)</t>
  </si>
  <si>
    <t>ESPECIALIZACIÓN EN MEDICINA CRÍTICA Y CUIDADO INTENSIVO (SEGUNDA COHORTE)</t>
  </si>
  <si>
    <t>ESPECIALIZACIÓN EN MEDICINA FAMILIAR (PRIMERA COHORTE)</t>
  </si>
  <si>
    <t>ESPECIALIZACIÓN EN MEDICINA FAMILIAR (SEGUNDA COHORTE)</t>
  </si>
  <si>
    <t>ESPECIALIZACIÓN EN MEDICINA INTERNA (PRIMERA COHORTE)</t>
  </si>
  <si>
    <t>ESPECIALIZACIÓN EN MEDICINA INTERNA (SEGUNDA COHORTE)</t>
  </si>
  <si>
    <t>ESPECIALIZACIÓN EN PATOLOGÍA (PRIMERA COHORTE)</t>
  </si>
  <si>
    <t>ESPECIALIZACIÓN EN PATOLOGÍA (SEGUNDA COHORTE)</t>
  </si>
  <si>
    <t>ESPECIALIZACIÓN EN PEDIATRÍA (PRIMERA COHORTE)</t>
  </si>
  <si>
    <t>ESPECIALIZACIÓN EN PEDIATRÍA (SEGUNDA COHORTE)</t>
  </si>
  <si>
    <t>ESPECIALIZACIÓN EN PSIQUIATRÍA DE ENLACE (SEGUNDA COHORTE)</t>
  </si>
  <si>
    <t>ESPECIALIZACIÓN EN LIDERAZGO PARA LA GESTIÓN SOCIAL</t>
  </si>
  <si>
    <t>MAESTRÍA EN EDUCACIÓN PARA LA INNOVACIÓN Y LAS CIUDADANÍAS</t>
  </si>
  <si>
    <t>INSTITUTO PENSAR</t>
  </si>
  <si>
    <t>Tarifa 2021</t>
  </si>
  <si>
    <t xml:space="preserve">Derechos de Inscripción Pregrado y Posgrado (Excepto MBA) </t>
  </si>
  <si>
    <t>CONCEPTO</t>
  </si>
  <si>
    <t>41600596  Matriculas pregrado primer</t>
  </si>
  <si>
    <t>41600597  Matriculas intersemestral 1er</t>
  </si>
  <si>
    <t>41600598  Matriculas pregrado segundo</t>
  </si>
  <si>
    <t>41600599  Matriculas posgrado primer</t>
  </si>
  <si>
    <t>41600508  Matriculas posgrado inter 1er</t>
  </si>
  <si>
    <t>41600505  Matriculas posgrado segundo</t>
  </si>
  <si>
    <t>41600601  Educacion Continua</t>
  </si>
  <si>
    <t>4160950202  Parqueaderos</t>
  </si>
  <si>
    <t>4160950203  Tienda Javeriana</t>
  </si>
  <si>
    <t>4160950207  Ingresos concesion</t>
  </si>
  <si>
    <t>4160950205  Servicios audiovisuales</t>
  </si>
  <si>
    <t>4160950301  Clinicas odontologicas</t>
  </si>
  <si>
    <t>4160950303  Laboratorio de Diagnostico</t>
  </si>
  <si>
    <t>4160950401  Inscripciones</t>
  </si>
  <si>
    <t>4160950403  Carnetizacion</t>
  </si>
  <si>
    <t>4160950404  Derechos de grado y diplomas</t>
  </si>
  <si>
    <t>4160950405  Certificados y Constancias</t>
  </si>
  <si>
    <t>4160950406  Derechos de secretaria</t>
  </si>
  <si>
    <t>4160950408  Ventas libros y revistas facul</t>
  </si>
  <si>
    <t>4160950410  Estudios de laboratorio</t>
  </si>
  <si>
    <t>41600506  Programas no conducentes a tit</t>
  </si>
  <si>
    <t>41600703  Consultorias y Asesorias</t>
  </si>
  <si>
    <t>510504  Auxilios</t>
  </si>
  <si>
    <t>510505  Prestaciones Sociales</t>
  </si>
  <si>
    <t>51050602  Sueldos de Hora Catedra</t>
  </si>
  <si>
    <t>510507  Plan de Beneficios Flexibles</t>
  </si>
  <si>
    <t>51051501  Horas extras y recargos</t>
  </si>
  <si>
    <t>51051801  Comisiones</t>
  </si>
  <si>
    <t>51052701  Auxilio de transporte</t>
  </si>
  <si>
    <t>51054201  Primas extralegales</t>
  </si>
  <si>
    <t>51054501  Funerarios</t>
  </si>
  <si>
    <t>51054801  Bonificaciones</t>
  </si>
  <si>
    <t>51055101  Dotaciones y sumin_ Trabajador</t>
  </si>
  <si>
    <t>51058401  Gastos medicos y drogas</t>
  </si>
  <si>
    <t>510594  Salario Planta</t>
  </si>
  <si>
    <t>5105950101  Apoyo sostenimiento Sena</t>
  </si>
  <si>
    <t>5105950201  Celebraciones y obseq_Personal</t>
  </si>
  <si>
    <t>516096  Depreciaciones</t>
  </si>
  <si>
    <t>51101001  Revisoria fiscal</t>
  </si>
  <si>
    <t>511085  Monitores</t>
  </si>
  <si>
    <t>5110950201  Auditoria Interna</t>
  </si>
  <si>
    <t>5110950301  Contratos Compania de Jesus</t>
  </si>
  <si>
    <t>5110951001  Costos de docencia-Hospitales</t>
  </si>
  <si>
    <t>511096  Otros Honorarios</t>
  </si>
  <si>
    <t>51350501  Aseo</t>
  </si>
  <si>
    <t>51350502  Vigilancia</t>
  </si>
  <si>
    <t>51351001  Temporales</t>
  </si>
  <si>
    <t>51352501  Acueducto y alcantarillado</t>
  </si>
  <si>
    <t>51353001  Energia electrica</t>
  </si>
  <si>
    <t>51353501  Telefono</t>
  </si>
  <si>
    <t>51355501  Gas</t>
  </si>
  <si>
    <t>51356001  Publicidad pregrado</t>
  </si>
  <si>
    <t>51356002  Publicidad posgrado</t>
  </si>
  <si>
    <t>51356003  Publicidad institucional</t>
  </si>
  <si>
    <t>51356004  Publicidad educacion continua</t>
  </si>
  <si>
    <t>513599  Otros Servicios</t>
  </si>
  <si>
    <t>516598  Licencias Temporales</t>
  </si>
  <si>
    <t>519594  Otros</t>
  </si>
  <si>
    <t>51959596  Otros Gastos Academicos</t>
  </si>
  <si>
    <t>519597  Impresos y Publicaciones</t>
  </si>
  <si>
    <t>519598  Libros, Periodicos y Revistas</t>
  </si>
  <si>
    <t>51150501  Industria y comercio</t>
  </si>
  <si>
    <t>51151501  A la propiedad raiz</t>
  </si>
  <si>
    <t>51154001  De vehiculos</t>
  </si>
  <si>
    <t>51159501  Gravamen movimientos financier</t>
  </si>
  <si>
    <t>514596  Mantenimiento y Reparaciones</t>
  </si>
  <si>
    <t>515096  ADECUACION E INSTALACION</t>
  </si>
  <si>
    <t>519996  Provisiones</t>
  </si>
  <si>
    <t>51309503  Seguro medico</t>
  </si>
  <si>
    <t>513096  Seguros Varios</t>
  </si>
  <si>
    <t>51309504  Riesgos profesi_ estud y prove</t>
  </si>
  <si>
    <t>515596  Gastos de Viaje</t>
  </si>
  <si>
    <t>512001  Arrendamientos</t>
  </si>
  <si>
    <t>512596  Contribuciones y Afiliaciones</t>
  </si>
  <si>
    <t>514096  Gastos Legales</t>
  </si>
  <si>
    <t>616096  Inventario Tienda Javeriana</t>
  </si>
  <si>
    <t>616097  Inventario cafeterias</t>
  </si>
  <si>
    <t>421096  Ingresos Financieros</t>
  </si>
  <si>
    <t>421097  Ingresos Financieros Intereses</t>
  </si>
  <si>
    <t>42200501  Terrenos</t>
  </si>
  <si>
    <t>42201001  Construcciones y edificios</t>
  </si>
  <si>
    <t>42203001  Equipo medico y cientifico</t>
  </si>
  <si>
    <t>42050501  Venta de lacteos y otros</t>
  </si>
  <si>
    <t>530501  Gastos Financieros</t>
  </si>
  <si>
    <t>539596  Diversos</t>
  </si>
  <si>
    <t>531596  Gastos Extraordinarios</t>
  </si>
  <si>
    <t>Valores de matrícula 2021 - 2022</t>
  </si>
  <si>
    <t>Valor Matrícula 2022</t>
  </si>
  <si>
    <t>MAESTRÍA EN ADMINISTRACIÓN EJECUTIVA - (Primera Cohorte)</t>
  </si>
  <si>
    <t>ESPECIALIZACIÓN EN TELEVISIÓN EXPANDIDA Y TRANSMEDIA</t>
  </si>
  <si>
    <t>MAESTRÍA EN ARCHIVÍSTICA HISTÓRICA Y MEMORIA - EXTENSIÓN CALI</t>
  </si>
  <si>
    <t>MAESTRÍA EN COMUNICACIÓN, TECNOLOGÍA Y SOCIEDAD (Primera Cohorte)</t>
  </si>
  <si>
    <t>MAESTRÍA EN COMUNICACIÓN, TECNOLOGÍA Y SOCIEDAD (Segunda Cohorte)</t>
  </si>
  <si>
    <t>ESPECIALIZACIÓN EN CIRUGÍA PLÁSTICA RECONSTRUCTIVA Y ESTÉTICA (PRIMER COHORTE)</t>
  </si>
  <si>
    <t>ESPECIALIZACIÓN EN CIRUGÍA PLÁSTICA RECONSTRUCTIVA Y ESTÉTICA (SEGUNDO COHORTE)</t>
  </si>
  <si>
    <t>ESPECIALIZACIÓN EN MEDICINA DE URGENCIAS (PRIMERA COHORTE)</t>
  </si>
  <si>
    <t>ESPECIALIZACIÓN EN MEDICINA DE URGENCIAS (SEGUNDA COHORTE)</t>
  </si>
  <si>
    <t>ESPECIALIZACIÓN EN OTORRINOLARINGOLOGÍA (PRIMERA COHORTE)</t>
  </si>
  <si>
    <t xml:space="preserve">ESPECIALIZACIÓN EN OTORRINOLARINGOLOGÍA (SEGUNDA COHORTE) </t>
  </si>
  <si>
    <t>ESPECIALIZACIÓN EN PSIQUIATRÍA DE ENLACE (PRIMERA COHORTE)</t>
  </si>
  <si>
    <t>ESPECIALIZACIÓN EN PSIQUIATRÍA DE NIÑOS Y ADOLESCENTES (PRIMERA COHORTE)</t>
  </si>
  <si>
    <t>ESPECIALIZACIÓN EN PSIQUIATRÍA DE NIÑOS Y ADOLESCENTES (SEGUNDA COHORTE)</t>
  </si>
  <si>
    <t>MAESTRÍA EN EPIDEMIOLOGíA CLÍNICA (PRIMERA COHORTE)</t>
  </si>
  <si>
    <t>MAESTRÍA EN EPIDEMIOLOGíA CLÍNICA (SEGUNDA COHORTE)</t>
  </si>
  <si>
    <t>DOCTORADO EN NEUROCIENCIAS</t>
  </si>
  <si>
    <t>ESPECIALIZACIÓN EN INFECTOLOGÍA</t>
  </si>
  <si>
    <t>ESPECIALIZACIÓN EN CARDIOLOGÍA INTERVENCIONISTA Y HEMODINAMIA</t>
  </si>
  <si>
    <t>ESPECIALIZACIÓN EN CIRUGÍA ONCOLÓGICA</t>
  </si>
  <si>
    <t>ESPECIALIZACIÓN EN ORTOPEDIA y TRAUMATOLOGÍA PEDIÁTRICA</t>
  </si>
  <si>
    <t>ESPECIALIZACIÓN EN REUMATOLOGÍA</t>
  </si>
  <si>
    <t>MAESTRÍA EN SALUD MENTAL ESCOLAR</t>
  </si>
  <si>
    <t>Ingresos proyectados 2022-1</t>
  </si>
  <si>
    <t>Proyección Estudiantes Matriculados 2022-1</t>
  </si>
  <si>
    <t>Proyección Estudiantes Matriculados 2022-3</t>
  </si>
  <si>
    <t>Ingresos proyectados 2022-3</t>
  </si>
  <si>
    <t>Total Ingresos proyectados por matrículas 2022</t>
  </si>
  <si>
    <t>Tarifa 2022</t>
  </si>
  <si>
    <t>OTROS CONCEPTOS</t>
  </si>
  <si>
    <t xml:space="preserve">Carné (duplicado) </t>
  </si>
  <si>
    <t>Certificación de planes de estudio y programas de asignaturas</t>
  </si>
  <si>
    <t>Certificaciones, constancias y copias actas de grado</t>
  </si>
  <si>
    <t>Derechos de grado</t>
  </si>
  <si>
    <t>Derechos de grado - Auxiliar de Higiene Oral o Auxiliar de Consultorio</t>
  </si>
  <si>
    <t>Derechos de grado - Seminaristas Venezuela</t>
  </si>
  <si>
    <t>Diploma de grado (original o copia) en español o en latín</t>
  </si>
  <si>
    <t>Diploma de grado (original o copia) en español o en latín - Auxiliar de Higiene Oral o Auxiliar de Consultorio</t>
  </si>
  <si>
    <t>IPC</t>
  </si>
  <si>
    <t>Evaluación supletoria</t>
  </si>
  <si>
    <t>Validación de asignaturas</t>
  </si>
  <si>
    <t>OTROS CONCEPTOS PARA EL PROGRAMA DE LICENCIATURA EN CIENCIAS RELIGIOSAS - VIRTUAL</t>
  </si>
  <si>
    <t xml:space="preserve">Derechos de grados </t>
  </si>
  <si>
    <t>PRESUPUESTO 2022</t>
  </si>
  <si>
    <t>1 de Diciembre de 2021</t>
  </si>
  <si>
    <t>4160950201  Alimentación</t>
  </si>
  <si>
    <t>4160950102  Actividades asesoría sicologic</t>
  </si>
  <si>
    <t>4160950105  Actividades Fom.Iden y Cons.Co</t>
  </si>
  <si>
    <t>4160950206  Servicios Comunidad Javeriana</t>
  </si>
  <si>
    <t>4160950407  Servicios informaci biblioteca</t>
  </si>
  <si>
    <t>4160950412  Matric Extraord, multas biblio</t>
  </si>
  <si>
    <t>41800596  DONACIONES RECIBIDAS</t>
  </si>
  <si>
    <t>41600702  Convenios Administración</t>
  </si>
  <si>
    <t>510596  Cargos Nuevos y Vacantes</t>
  </si>
  <si>
    <t>510597  Capacitación al personal</t>
  </si>
  <si>
    <t>42050502  Venta de ganado</t>
  </si>
  <si>
    <t>ARQUITECTURA</t>
  </si>
  <si>
    <t>CIENCIA DE DATOS</t>
  </si>
  <si>
    <t>ESPECIALIZACIÓN EN MICROBIOLOGÍA MEDICA</t>
  </si>
  <si>
    <t>DOCTORADO EN ECONOMÍA</t>
  </si>
  <si>
    <t>ESPECIALIZACIÓN EN GERENCIA DEL TALENTO HUMANO</t>
  </si>
  <si>
    <t>ESPECIALIZACIÓN EN GERENCIA ESTRATÉGICA DE LA INNOVACIÓN</t>
  </si>
  <si>
    <t>ESPECIALIZACIÓN EN GERENCIA HOSPITALARIA</t>
  </si>
  <si>
    <t>ESPECIALIZACIÓN EN MARKETING ESTRATÉGICO</t>
  </si>
  <si>
    <t>ESPECIALIZACIÓN EN DERECHO DE LA COMPETENCIA</t>
  </si>
  <si>
    <t>MAESTRÍA EN PERIODISMO CIENTÍFICO</t>
  </si>
  <si>
    <t>ESPECIALIZACIÓN EN DERECHO MATRIMONIAL CANÓNICO</t>
  </si>
  <si>
    <t>ESPECIALIZACIÓN EN SEGURIDAD Y SALUD EN EL TRABAJO</t>
  </si>
  <si>
    <t>MAESTRÍA EN GESTIÓN AMBIENTAL</t>
  </si>
  <si>
    <t>ESPECIALIZACIÓN EN GERENCIA DE PROYECTOS DE TECNOLOGÍAS DE LA INFORMACIÓN</t>
  </si>
  <si>
    <t>MAESTRÍA EN ANALÍTICA PARA LA INTELIGENCIA DE NEGOCIOS</t>
  </si>
  <si>
    <t>MAESTRÍA EN ESTUDIOS CRÍTICOS DE LAS MIGRACIONES CONTEMPORÁNEAS</t>
  </si>
  <si>
    <t>ESPECIALIZACIÓN EN ELECTROFISIOLOGÍA CLÍNICA, ESTIMULACIÓN Y ARRITMIAS CARDÍACAS</t>
  </si>
  <si>
    <t>ESPECIALIZACIÓN EN GASTROENTEROLOGÍA</t>
  </si>
  <si>
    <t>ESPECIALIZACIÓN EN MEDICINA DEL DOLOR Y CUIDADOS PALIATIVOS</t>
  </si>
  <si>
    <t>ESPECIALIZACIÓN EN PSIQUIATRÍA</t>
  </si>
  <si>
    <t>ESPECIALIZACIÓN EN RADIOLOGÍA E IMÁGENES DIAGNÓSTICAS</t>
  </si>
  <si>
    <t>ODONTOLOGÍA</t>
  </si>
  <si>
    <t>ESPECIALIZACIÓN EN DERECHO FINANCIERO Y DE MERCADO DE VALORES</t>
  </si>
  <si>
    <t>Recursos para inversiones 2019</t>
  </si>
  <si>
    <t>Contenido</t>
  </si>
  <si>
    <t>Incremento en valores de matrícula y demás derechos pecuniarios - Anexo Sede Central</t>
  </si>
  <si>
    <t>Pontificia Universidad Javeriana</t>
  </si>
  <si>
    <t>Valor de los proyectos 2022</t>
  </si>
  <si>
    <t>Presupuesto aprobado 2022</t>
  </si>
  <si>
    <t>Valores de matrícula 2021-2022</t>
  </si>
  <si>
    <t>Otros conceptos 2021-2022</t>
  </si>
  <si>
    <t xml:space="preserve">Proyectos específicos contemplados en la Planeación Universitaria 2021-2023 </t>
  </si>
  <si>
    <t>Implementación de la metodología de Aprendizaje Servicio en el marco de la planeación universitaria, vinculando a los profesores, Programas Sociales y socios comunitarios</t>
  </si>
  <si>
    <t>Desarrollo de la evaluación de Syllabus</t>
  </si>
  <si>
    <t xml:space="preserve">Continuación del Proceso de Reflexión curricular de la oferta académica </t>
  </si>
  <si>
    <t>Otorgamiento de los registros calificados a 20 programas académicos nuevos</t>
  </si>
  <si>
    <t>Socialización con las Facultades y escenarios de práctica de la directriz para el proceso de nombramiento del profesor clínico adjunto, además de la realizacion de un evento de reconocimiento a los profesores que han obtenido este reconocimiento en los últimos 3 años y la celebración del día del profesor javeriano</t>
  </si>
  <si>
    <t>Realización de un aproximado de 160 Comités docencia-servicio, dando cumplimiento a lo establecido en el Decreto 780 de 2016, correspondientes a escenarios de práctica ubicados en diferentes regiones de la geografía nacional</t>
  </si>
  <si>
    <t>En relación con los convenios de relación docencia servicio, y teniendo en cuenta el Modelo de Evaluación de la Calidad de los escenarios docencia servicio establecido en el Acuerdo 00273 del 5 de octubre de 2021 de la Comisión Intersectorial para el Talento Humano en Salud, se ampliará el alcance para la planeación, ejecución y seguimiento a los convenios docencia-servicio a los escenarios clínicos, no clínicos institucionales y no clínicos no institucionales</t>
  </si>
  <si>
    <t>Actividades de la estrategia de internacionalización en casa</t>
  </si>
  <si>
    <t>Actividades de promoción intercultural, en cursos de español para extranjeros y cursos de lengua para la movilidad de los javerianos</t>
  </si>
  <si>
    <t>Asignaturas que toman los extranjeros que vienen de intercambio</t>
  </si>
  <si>
    <t xml:space="preserve">Fondos de apoyo a estudiantes con convenios con la Embajada Francesa, y Beijing Center sumado a la beca AUSJAL y Convenio con Georgetown y Harvard </t>
  </si>
  <si>
    <t xml:space="preserve">Fondo de recepción de estudiantes extranjeros a través del ICETEX (Beca de Reciprocidad) </t>
  </si>
  <si>
    <t>Descuento del 50% en la matrícula a mejores estudiantes de pregrado para intercambio académico y 25% para estudiantes de intercambio de posgrado</t>
  </si>
  <si>
    <t>Suscripción a la American Library Association (ALA), como mecanismo de contacto académico y análisis de tendencias</t>
  </si>
  <si>
    <t>Implementación de un sistema de información para las salidas universitarias fuera del campus</t>
  </si>
  <si>
    <t>Adquisición de recursos bibliográficos para el sistema de bibliotecas de la Universidad</t>
  </si>
  <si>
    <t>Mantenimiento de software y licencias que apoyan el desarrollo de actividades de la Biblioteca Alfonso Borrero Cabal S.J.</t>
  </si>
  <si>
    <t>Actualización y renovación de los equipos de cómputo para docentes y personal administrativo.</t>
  </si>
  <si>
    <r>
      <t xml:space="preserve">Generación de insignias y credenciales digitales para los estudiantes y egresados sobre </t>
    </r>
    <r>
      <rPr>
        <i/>
        <sz val="11"/>
        <color theme="1"/>
        <rFont val="Calibri"/>
        <family val="2"/>
        <scheme val="minor"/>
      </rPr>
      <t>blockchain</t>
    </r>
  </si>
  <si>
    <t>5.8..</t>
  </si>
  <si>
    <t>X</t>
  </si>
  <si>
    <t>Ampliación y fortalecimiento de la infraestructura de Nube Privada destinada de forma exclusiva a procesos de docencia e investigación, con la ampliación de infraestructura de almacenamiento centralizado</t>
  </si>
  <si>
    <t>Fortalecimiento de la red en el Centro de Cómputo de la Universidad</t>
  </si>
  <si>
    <t>Renovación tecnológica de la infraestructura propia que soporta los sistemas de información académicos y administrativos de la Universidad, permitiendo el mejoramiento en disponibilidad y eficiencia de servicios en el Centro de Cómputo de la Universidad</t>
  </si>
  <si>
    <t>Continuación de la implementación del LMS Brightspace, servicio en la nube</t>
  </si>
  <si>
    <t>Continuación de la consolidación de servicios en Campus Virtual</t>
  </si>
  <si>
    <t>Desarrollo tecnológico (incluye inversiones en infraestructura tecnológica, equipos de cómputo, equipos médico-científicos y dotación bibliográfica)</t>
  </si>
  <si>
    <t>Biblioteca Alfonso Borrero Cabal S.J., mantenimientos de infraestructura y maquinaria, correspondiente a alumbrado, cerrajería, aire, pintura, plomería</t>
  </si>
  <si>
    <t>Implementación de la Directriz de Compras Responsables y Sostenibles de la Universidad</t>
  </si>
  <si>
    <t xml:space="preserve">4.8. </t>
  </si>
  <si>
    <t xml:space="preserve">Construcción del edificio Calle 125 </t>
  </si>
  <si>
    <t>Actualización tecnológica de audio y video de las aulas de los edificios Pedro Arrupe y Jesús Emilio Ramirez y la remodelación total del Auditorio Novoa</t>
  </si>
  <si>
    <t>4.6</t>
  </si>
  <si>
    <t>Continuación de la obra del nuevo edificio de la Facultad de Ciencias</t>
  </si>
  <si>
    <t>Diseño de las fachadas y espacio público aledaño de los Edificios Emilio Arango, S.J., y Biblioteca Alfonso Borrero, S.J.</t>
  </si>
  <si>
    <t>Reforzamiento estructural y remodelación arquitectónica e instalaciones técnicas de edificios</t>
  </si>
  <si>
    <t>Desarrollo físico y sostenibilidad ambiental (incluye infraestructura e inversión en planta física)</t>
  </si>
  <si>
    <t>Observatorio de Pedagogías Emergentes: tiene como propósito contar con información sobre las necesidades o fortalecimiento de apoyo pedagógico y tecnológico de los profesores, que permita la cualificación de los procesos de enseñanza</t>
  </si>
  <si>
    <t>Laboratorio en Cultura Digital: el propósito es estimular las competencias y habilidades de los docentes con el uso de las tecnologías de la información y la comunicación para nutrir sus actividades pedagógicas, de investigación, de desarrollo de proyectos y su crecimiento personal</t>
  </si>
  <si>
    <t>Ascensos y movimientos en escalas de remuneración en el Escalafón Docente</t>
  </si>
  <si>
    <t xml:space="preserve">Plan de Formación Permanente del Profesor Javeriano - Componente de Formación en Posgrados, desempeño académico y formación en lenguas extranjeras </t>
  </si>
  <si>
    <t>Proyectos para fortalecer la identidad del Centro Pastoral San Francisco Javier entre los estudiantes y entre los colaboradores del Centro con las Facultades</t>
  </si>
  <si>
    <t>2.24.</t>
  </si>
  <si>
    <t xml:space="preserve">Club Deportivo y participación en torneos deportivos fuera del país en integración con las Universidades Jesuitas </t>
  </si>
  <si>
    <t>2.23.</t>
  </si>
  <si>
    <t>Proyecto específico “Javeriana a tu Lado”;  proyecto “Te cuida PUJ”; y desarrollo estrategias de prevención y atención de casos de violencia y discriminación</t>
  </si>
  <si>
    <t>2.22.</t>
  </si>
  <si>
    <r>
      <t xml:space="preserve">Proyecto Red Voces Javerianas; proyectos Sostenibilidad Javeriana y Caminatas Ecológicas; y propuesta </t>
    </r>
    <r>
      <rPr>
        <i/>
        <sz val="11"/>
        <color theme="1"/>
        <rFont val="Calibri"/>
        <family val="2"/>
        <scheme val="minor"/>
      </rPr>
      <t>Magis</t>
    </r>
  </si>
  <si>
    <t>2.21.</t>
  </si>
  <si>
    <t>Intercambio musical y académico Fantastique; proyecto Pensarte (cuidado de la salud mental de los estudiantes y de la Comunidad Educativa Javeriana); proyecto de podcasts denominado Las Elegidas; y proyecto de inmersión de los grupos culturales</t>
  </si>
  <si>
    <t>2.20.</t>
  </si>
  <si>
    <t>Descuento sobre el valor de la matrícula a estudiantes del programa GENERACIÓN E</t>
  </si>
  <si>
    <t>2.19.</t>
  </si>
  <si>
    <t>Aporte al Fondo de Sostenibilidad del ICETEX por los créditos desembolsados</t>
  </si>
  <si>
    <t>Línea de crédito de mediano plazo para posgrado</t>
  </si>
  <si>
    <t xml:space="preserve">Créditos otorgados a estudiantes </t>
  </si>
  <si>
    <t xml:space="preserve">Aporte al programa Ser Pilo Paga como descuento en el valor de la matrícula </t>
  </si>
  <si>
    <t xml:space="preserve">Plan de Prevensión de la Deserción que incluye el plan de formación de consejeros del programa de consejería académica, las aulas de acompañamiento y el programa de monitorias académicas para el acompañamiento de pares </t>
  </si>
  <si>
    <t>Plan de Acompañamiento Integral para los estudiantes de la Universidad (apoyo que se encuentra dentro del Plan de fomento a la permanencia estudiantil)</t>
  </si>
  <si>
    <t>Becas de acceso a primer semestre</t>
  </si>
  <si>
    <t>Fondo de Becas de la Rectoría para becar estudiantes con dificultades económicas y jesuitas, y auxilios alimentarios para casos especiales</t>
  </si>
  <si>
    <t>Becas de movilidad estudiantil nacional</t>
  </si>
  <si>
    <t>Programa Regresa y la Tienda Javeriana: programa de selección, vinculación y mercadeo para apoyar iniciativas de emprendedores javerianos</t>
  </si>
  <si>
    <t>Programas de acompañamiento a emprendedores “Regresa, Reúnete y Emprende” y Workshop</t>
  </si>
  <si>
    <t>Alimentación para empleados de los Servicios de Alimentación</t>
  </si>
  <si>
    <t>1.7.</t>
  </si>
  <si>
    <t>Acciones de responsabilidad social en la cadena de abastecimiento de Servicios de Alimentación a proveedores que hacen parte de comunidades vulnerables, ubicadas en zonas afectadas por el conflicto armado, madres cabezas de familia, campesinos que han reemplazado cultivos ilícitos</t>
  </si>
  <si>
    <t>Apoyo a los programas institucionales de proyección social de las facultades de Ciencias de la Salud y de la Facultad de Ingeniería</t>
  </si>
  <si>
    <t>Valor total del proyecto para 2020 (millones de pesos)</t>
  </si>
  <si>
    <t>Volver al menú</t>
  </si>
  <si>
    <t>Desarrollo y acompañamiento de proyectos de presupuesto social, específicamente los que aportan al proceso de regionalización de la Compañía de Jesús para la consolidación de procesos formativos de comunidades en condición de vulnerabilidad y para el desarrollo y consolidación de la paz</t>
  </si>
  <si>
    <t>Coordinación y fortalecimiento de la presencia de la PUJ en la región Amazónica Colombiana, desde el “Programa PUJ Amazonía Colombiana”</t>
  </si>
  <si>
    <t>Desarrollo del Plan de Lectura “Qué hay pa´leer”. El desarrollo del plan incluye actividades como los Clubes de Lectura, la Hora del Cuento, Autores en la Javeriana, Tertulias, y se dio comienzo a un Taller de Escritura Creativa en alianza con el Departamento de Literatura</t>
  </si>
  <si>
    <t xml:space="preserve">Programa de fortalecimiento de competencias para la vida laboral  </t>
  </si>
  <si>
    <t>Apoyo a la investigación en los programas doctorales, la investigación interdisciplinaria, la articulación entre la investigación y la docencia, la formación de jóvenes investigadores, la investigación vinculada a la creación artística y y la articulación del fomento al emprendimiento</t>
  </si>
  <si>
    <t>Continuación de la implementación de Comunicaciones Unificadas, modernizando los servicios de comunicaciones de voz y permitiendo la integración de servicios de colaboración y movilidad para toda la Comunidad académica</t>
  </si>
  <si>
    <t>Actualización de dos suites de PeopleSoft (Sistema de Recursos Humanos y Sistema Financiero)</t>
  </si>
  <si>
    <t>Actividades del Programa de Movilidad Javeriana que se centra en la promoción de modos sostenibles para transportarse</t>
  </si>
  <si>
    <t>Acciones orientadas a la reduciendo el consumo de vasos de cartón para las bebidas calientes, botellas de agua plásticas, y cubiertos desechables</t>
  </si>
  <si>
    <t>Presupuesto 2022</t>
  </si>
  <si>
    <t>FACULTAD CIENCIAS POLÍTICAS Y RELACIONES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</si>
</sst>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3" formatCode="_-* #,##0.00_-;\-* #,##0.00_-;_-* &quot;-&quot;??_-;_-@_-"/>
    <numFmt numFmtId="164" formatCode="&quot;$&quot;#,##0;\-&quot;$&quot;#,##0"/>
    <numFmt numFmtId="165" formatCode="_-&quot;$&quot;* #,##0.00_-;\-&quot;$&quot;* #,##0.00_-;_-&quot;$&quot;* &quot;-&quot;??_-;_-@_-"/>
    <numFmt numFmtId="166" formatCode="_(* #,##0.00_);_(* \(#,##0.00\);_(* &quot;-&quot;??_);_(@_)"/>
    <numFmt numFmtId="167" formatCode="&quot;$&quot;#,##0.0"/>
    <numFmt numFmtId="168" formatCode="_-&quot;$&quot;* #,##0_-;\-&quot;$&quot;* #,##0_-;_-&quot;$&quot;* &quot;-&quot;??_-;_-@_-"/>
    <numFmt numFmtId="169" formatCode="0.0%"/>
    <numFmt numFmtId="170" formatCode="&quot;$&quot;#,##0"/>
    <numFmt numFmtId="171" formatCode="_-* #,##0_-;\-* #,##0_-;_-* &quot;-&quot;??_-;_-@_-"/>
    <numFmt numFmtId="172" formatCode="#,##0_);[Red]\(#,##0\)"/>
    <numFmt numFmtId="173" formatCode="#,##0_ ;[Red]\-#,##0\ "/>
    <numFmt numFmtId="174" formatCode="_(* #,##0_);_(* \(#,##0\);_(* &quot;-&quot;??_);_(@_)"/>
    <numFmt numFmtId="175" formatCode="#,##0_ ;\-#,##0\ "/>
  </numFmts>
  <fonts count="33" x14ac:knownFonts="1">
    <font>
      <sz val="11"/>
      <color theme="1"/>
      <name val="Calibri"/>
      <family val="2"/>
      <scheme val="minor"/>
    </font>
    <font>
      <sz val="11"/>
      <color theme="1"/>
      <name val="Calibri"/>
      <family val="2"/>
      <scheme val="minor"/>
    </font>
    <font>
      <sz val="10"/>
      <name val="MS Sans Serif"/>
    </font>
    <font>
      <b/>
      <sz val="10"/>
      <name val="MS Sans Serif"/>
      <family val="2"/>
    </font>
    <font>
      <sz val="10"/>
      <name val="Calibri"/>
      <family val="2"/>
      <scheme val="minor"/>
    </font>
    <font>
      <sz val="10"/>
      <color theme="1"/>
      <name val="Calibri"/>
      <family val="2"/>
      <scheme val="minor"/>
    </font>
    <font>
      <sz val="10"/>
      <name val="MS Sans Serif"/>
      <family val="2"/>
    </font>
    <font>
      <b/>
      <sz val="14"/>
      <name val="Calibri"/>
      <family val="2"/>
      <scheme val="minor"/>
    </font>
    <font>
      <b/>
      <sz val="20"/>
      <name val="Calibri"/>
      <family val="2"/>
      <scheme val="minor"/>
    </font>
    <font>
      <sz val="10"/>
      <name val="Arial"/>
      <family val="2"/>
    </font>
    <font>
      <sz val="8"/>
      <name val="Calibri"/>
      <family val="2"/>
      <scheme val="minor"/>
    </font>
    <font>
      <b/>
      <sz val="8"/>
      <name val="Calibri"/>
      <family val="2"/>
      <scheme val="minor"/>
    </font>
    <font>
      <b/>
      <u/>
      <sz val="8"/>
      <name val="Calibri"/>
      <family val="2"/>
      <scheme val="minor"/>
    </font>
    <font>
      <i/>
      <sz val="8"/>
      <name val="Calibri"/>
      <family val="2"/>
      <scheme val="minor"/>
    </font>
    <font>
      <u/>
      <sz val="11"/>
      <color theme="10"/>
      <name val="Calibri"/>
      <family val="2"/>
      <scheme val="minor"/>
    </font>
    <font>
      <b/>
      <sz val="11"/>
      <color theme="1"/>
      <name val="Calibri"/>
      <family val="2"/>
      <scheme val="minor"/>
    </font>
    <font>
      <b/>
      <sz val="11"/>
      <name val="Calibri"/>
      <family val="2"/>
      <scheme val="minor"/>
    </font>
    <font>
      <b/>
      <u/>
      <sz val="11"/>
      <color theme="1"/>
      <name val="Calibri"/>
      <family val="2"/>
      <scheme val="minor"/>
    </font>
    <font>
      <b/>
      <sz val="11"/>
      <color theme="0"/>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sz val="10"/>
      <color indexed="8"/>
      <name val="Calibri"/>
      <family val="2"/>
    </font>
    <font>
      <sz val="10"/>
      <color indexed="8"/>
      <name val="Calibri"/>
      <family val="2"/>
    </font>
    <font>
      <b/>
      <sz val="10"/>
      <color indexed="8"/>
      <name val="Calibri"/>
      <family val="2"/>
    </font>
    <font>
      <sz val="11"/>
      <name val="Calibri"/>
      <family val="2"/>
      <scheme val="minor"/>
    </font>
    <font>
      <b/>
      <sz val="11"/>
      <color theme="0"/>
      <name val="Verdana"/>
      <family val="2"/>
    </font>
    <font>
      <sz val="10"/>
      <name val="Verdana"/>
      <family val="2"/>
    </font>
    <font>
      <sz val="14"/>
      <color rgb="FF0062A1"/>
      <name val="Verdana"/>
      <family val="2"/>
    </font>
    <font>
      <b/>
      <sz val="16"/>
      <color rgb="FF0062A1"/>
      <name val="Verdana"/>
      <family val="2"/>
    </font>
    <font>
      <i/>
      <sz val="11"/>
      <color theme="1"/>
      <name val="Calibri"/>
      <family val="2"/>
      <scheme val="minor"/>
    </font>
    <font>
      <b/>
      <sz val="10"/>
      <name val="Calibri"/>
      <family val="2"/>
      <scheme val="minor"/>
    </font>
    <font>
      <b/>
      <sz val="10"/>
      <color indexed="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166" fontId="9" fillId="0" borderId="0" applyFont="0" applyFill="0" applyBorder="0" applyAlignment="0" applyProtection="0"/>
    <xf numFmtId="0" fontId="9" fillId="0" borderId="0"/>
    <xf numFmtId="0" fontId="14" fillId="0" borderId="0" applyNumberForma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26" fillId="6" borderId="0">
      <alignment horizontal="left" vertical="center" indent="1"/>
    </xf>
  </cellStyleXfs>
  <cellXfs count="263">
    <xf numFmtId="0" fontId="0" fillId="0" borderId="0" xfId="0"/>
    <xf numFmtId="0" fontId="6" fillId="0" borderId="0" xfId="4" applyFont="1"/>
    <xf numFmtId="171" fontId="10" fillId="0" borderId="3" xfId="1" applyNumberFormat="1" applyFont="1" applyFill="1" applyBorder="1" applyAlignment="1">
      <alignment horizontal="center"/>
    </xf>
    <xf numFmtId="0" fontId="10" fillId="0" borderId="3" xfId="0" applyFont="1" applyFill="1" applyBorder="1" applyAlignment="1">
      <alignment horizontal="center"/>
    </xf>
    <xf numFmtId="0" fontId="10" fillId="0" borderId="4" xfId="0" applyFont="1" applyFill="1" applyBorder="1" applyAlignment="1">
      <alignment horizontal="center"/>
    </xf>
    <xf numFmtId="170" fontId="10" fillId="0" borderId="1" xfId="1" applyNumberFormat="1" applyFont="1" applyFill="1" applyBorder="1" applyAlignment="1">
      <alignment horizontal="center"/>
    </xf>
    <xf numFmtId="0" fontId="10" fillId="0" borderId="1" xfId="0" applyFont="1" applyFill="1" applyBorder="1" applyAlignment="1">
      <alignment horizontal="center"/>
    </xf>
    <xf numFmtId="0" fontId="10" fillId="0" borderId="28" xfId="0" applyFont="1" applyFill="1" applyBorder="1" applyAlignment="1">
      <alignment horizontal="center"/>
    </xf>
    <xf numFmtId="0" fontId="11" fillId="0" borderId="0" xfId="0" applyFont="1" applyFill="1" applyBorder="1" applyAlignment="1">
      <alignment horizontal="left"/>
    </xf>
    <xf numFmtId="168" fontId="11" fillId="0" borderId="6" xfId="2" applyNumberFormat="1" applyFont="1" applyFill="1" applyBorder="1" applyAlignment="1">
      <alignment horizontal="center" vertical="center" wrapText="1"/>
    </xf>
    <xf numFmtId="168" fontId="11" fillId="0" borderId="7" xfId="2" applyNumberFormat="1" applyFont="1" applyFill="1" applyBorder="1" applyAlignment="1">
      <alignment horizontal="center" vertical="center" wrapText="1"/>
    </xf>
    <xf numFmtId="168" fontId="11" fillId="0" borderId="8" xfId="2" applyNumberFormat="1" applyFont="1" applyFill="1" applyBorder="1" applyAlignment="1">
      <alignment horizontal="center" vertical="center" wrapText="1"/>
    </xf>
    <xf numFmtId="4" fontId="12" fillId="0" borderId="34" xfId="0" applyNumberFormat="1" applyFont="1" applyFill="1" applyBorder="1"/>
    <xf numFmtId="4" fontId="12" fillId="0" borderId="3" xfId="0" applyNumberFormat="1" applyFont="1" applyFill="1" applyBorder="1" applyAlignment="1">
      <alignment horizontal="center"/>
    </xf>
    <xf numFmtId="165" fontId="10" fillId="0" borderId="3" xfId="2" applyFont="1" applyFill="1" applyBorder="1" applyAlignment="1"/>
    <xf numFmtId="9" fontId="10" fillId="0" borderId="3" xfId="3" applyFont="1" applyFill="1" applyBorder="1" applyAlignment="1">
      <alignment horizontal="center"/>
    </xf>
    <xf numFmtId="170" fontId="10" fillId="0" borderId="3" xfId="0" applyNumberFormat="1" applyFont="1" applyFill="1" applyBorder="1" applyAlignment="1">
      <alignment horizontal="center"/>
    </xf>
    <xf numFmtId="4" fontId="10" fillId="0" borderId="3" xfId="3" applyNumberFormat="1" applyFont="1" applyFill="1" applyBorder="1" applyAlignment="1">
      <alignment horizontal="center"/>
    </xf>
    <xf numFmtId="4" fontId="10" fillId="0" borderId="3" xfId="2" applyNumberFormat="1" applyFont="1" applyFill="1" applyBorder="1" applyAlignment="1">
      <alignment horizontal="center"/>
    </xf>
    <xf numFmtId="4" fontId="10" fillId="0" borderId="3" xfId="0" applyNumberFormat="1" applyFont="1" applyFill="1" applyBorder="1" applyAlignment="1">
      <alignment horizontal="center"/>
    </xf>
    <xf numFmtId="4" fontId="10" fillId="0" borderId="17" xfId="0" applyNumberFormat="1" applyFont="1" applyFill="1" applyBorder="1"/>
    <xf numFmtId="4" fontId="10" fillId="0" borderId="1" xfId="0" applyNumberFormat="1" applyFont="1" applyFill="1" applyBorder="1" applyAlignment="1">
      <alignment horizontal="center"/>
    </xf>
    <xf numFmtId="170" fontId="10" fillId="0" borderId="1" xfId="2" applyNumberFormat="1" applyFont="1" applyFill="1" applyBorder="1" applyAlignment="1">
      <alignment horizontal="center"/>
    </xf>
    <xf numFmtId="4" fontId="10" fillId="0" borderId="1" xfId="3" applyNumberFormat="1" applyFont="1" applyFill="1" applyBorder="1" applyAlignment="1">
      <alignment horizontal="center"/>
    </xf>
    <xf numFmtId="4" fontId="12" fillId="0" borderId="17" xfId="0" applyNumberFormat="1" applyFont="1" applyFill="1" applyBorder="1"/>
    <xf numFmtId="4" fontId="10" fillId="0" borderId="1" xfId="2" applyNumberFormat="1" applyFont="1" applyFill="1" applyBorder="1" applyAlignment="1">
      <alignment horizontal="center"/>
    </xf>
    <xf numFmtId="0" fontId="12" fillId="0" borderId="34" xfId="0" applyFont="1" applyFill="1" applyBorder="1"/>
    <xf numFmtId="168" fontId="10" fillId="0" borderId="3" xfId="2" applyNumberFormat="1" applyFont="1" applyFill="1" applyBorder="1"/>
    <xf numFmtId="168" fontId="10" fillId="0" borderId="3" xfId="2" applyNumberFormat="1" applyFont="1" applyFill="1" applyBorder="1" applyAlignment="1">
      <alignment horizontal="center"/>
    </xf>
    <xf numFmtId="0" fontId="10" fillId="0" borderId="3" xfId="0" applyFont="1" applyFill="1" applyBorder="1"/>
    <xf numFmtId="0" fontId="10" fillId="0" borderId="17" xfId="0" applyFont="1" applyFill="1" applyBorder="1"/>
    <xf numFmtId="164" fontId="10" fillId="0" borderId="1" xfId="2" applyNumberFormat="1" applyFont="1" applyFill="1" applyBorder="1" applyAlignment="1">
      <alignment horizontal="center"/>
    </xf>
    <xf numFmtId="169" fontId="10" fillId="0" borderId="1" xfId="3" applyNumberFormat="1" applyFont="1" applyFill="1" applyBorder="1" applyAlignment="1">
      <alignment horizontal="center"/>
    </xf>
    <xf numFmtId="0" fontId="12" fillId="0" borderId="17" xfId="0" applyFont="1" applyFill="1" applyBorder="1"/>
    <xf numFmtId="0" fontId="10" fillId="0" borderId="1" xfId="0" applyFont="1" applyFill="1" applyBorder="1"/>
    <xf numFmtId="168" fontId="10" fillId="0" borderId="1" xfId="2" applyNumberFormat="1" applyFont="1" applyFill="1" applyBorder="1" applyAlignment="1">
      <alignment horizontal="center"/>
    </xf>
    <xf numFmtId="0" fontId="0" fillId="0" borderId="24" xfId="0" applyFont="1" applyFill="1" applyBorder="1" applyAlignment="1">
      <alignment horizontal="center" vertical="center"/>
    </xf>
    <xf numFmtId="0" fontId="0" fillId="0" borderId="24" xfId="0" applyFont="1" applyFill="1" applyBorder="1"/>
    <xf numFmtId="167" fontId="0" fillId="0" borderId="26" xfId="0" applyNumberFormat="1" applyFont="1" applyFill="1" applyBorder="1" applyAlignment="1">
      <alignment horizontal="center" vertical="center"/>
    </xf>
    <xf numFmtId="168" fontId="4" fillId="0" borderId="0" xfId="2" applyNumberFormat="1" applyFont="1"/>
    <xf numFmtId="0" fontId="4" fillId="0" borderId="0" xfId="7" applyFont="1"/>
    <xf numFmtId="0" fontId="0" fillId="0" borderId="1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2" xfId="0" applyFill="1" applyBorder="1" applyAlignment="1">
      <alignment horizontal="justify" vertical="center" wrapText="1"/>
    </xf>
    <xf numFmtId="0" fontId="0" fillId="0" borderId="23" xfId="0" applyFont="1" applyFill="1" applyBorder="1" applyAlignment="1">
      <alignment horizontal="center" vertical="center"/>
    </xf>
    <xf numFmtId="0" fontId="0" fillId="0" borderId="22" xfId="0" applyFill="1" applyBorder="1" applyAlignment="1">
      <alignment horizontal="justify" vertical="center" wrapText="1"/>
    </xf>
    <xf numFmtId="0" fontId="0" fillId="0" borderId="41" xfId="0" applyFont="1" applyFill="1" applyBorder="1" applyAlignment="1">
      <alignment horizontal="center" vertical="center"/>
    </xf>
    <xf numFmtId="0" fontId="0" fillId="0" borderId="30" xfId="0" applyFill="1" applyBorder="1" applyAlignment="1">
      <alignment horizontal="justify" vertical="center" wrapText="1"/>
    </xf>
    <xf numFmtId="0" fontId="0" fillId="0" borderId="33" xfId="0" applyFont="1" applyFill="1" applyBorder="1" applyAlignment="1">
      <alignment horizontal="center" vertical="center"/>
    </xf>
    <xf numFmtId="0" fontId="0" fillId="0" borderId="42" xfId="0" applyFont="1" applyFill="1" applyBorder="1" applyAlignment="1">
      <alignment horizontal="center" vertical="center"/>
    </xf>
    <xf numFmtId="10" fontId="10" fillId="0" borderId="1" xfId="3" applyNumberFormat="1" applyFont="1" applyFill="1" applyBorder="1" applyAlignment="1">
      <alignment horizontal="center"/>
    </xf>
    <xf numFmtId="4" fontId="11" fillId="0" borderId="28" xfId="0" applyNumberFormat="1" applyFont="1" applyFill="1" applyBorder="1" applyAlignment="1">
      <alignment horizontal="center"/>
    </xf>
    <xf numFmtId="0" fontId="11" fillId="0" borderId="6" xfId="0" applyFont="1" applyFill="1" applyBorder="1" applyAlignment="1">
      <alignment horizontal="center"/>
    </xf>
    <xf numFmtId="0" fontId="11" fillId="0" borderId="21" xfId="0" applyFont="1" applyFill="1" applyBorder="1" applyAlignment="1">
      <alignment vertical="center"/>
    </xf>
    <xf numFmtId="0" fontId="10" fillId="0" borderId="36" xfId="0" applyFont="1" applyFill="1" applyBorder="1" applyAlignment="1">
      <alignment horizontal="center"/>
    </xf>
    <xf numFmtId="0" fontId="10" fillId="0" borderId="10" xfId="0" applyFont="1" applyFill="1" applyBorder="1" applyAlignment="1">
      <alignment horizontal="center"/>
    </xf>
    <xf numFmtId="0" fontId="10" fillId="0" borderId="24" xfId="0" applyFont="1" applyFill="1" applyBorder="1" applyAlignment="1">
      <alignment horizontal="center"/>
    </xf>
    <xf numFmtId="0" fontId="10" fillId="0" borderId="7" xfId="0" applyFont="1" applyFill="1" applyBorder="1" applyAlignment="1">
      <alignment horizontal="center"/>
    </xf>
    <xf numFmtId="0" fontId="14" fillId="0" borderId="0" xfId="8"/>
    <xf numFmtId="170" fontId="10" fillId="0" borderId="1" xfId="0" applyNumberFormat="1" applyFont="1" applyFill="1" applyBorder="1" applyAlignment="1">
      <alignment horizontal="center" vertical="center" wrapText="1"/>
    </xf>
    <xf numFmtId="170" fontId="10" fillId="0" borderId="15" xfId="0" applyNumberFormat="1" applyFont="1" applyFill="1" applyBorder="1" applyAlignment="1">
      <alignment horizontal="center" vertical="center" wrapText="1"/>
    </xf>
    <xf numFmtId="170" fontId="10" fillId="0" borderId="1" xfId="0" applyNumberFormat="1" applyFont="1" applyFill="1" applyBorder="1" applyAlignment="1">
      <alignment horizontal="center"/>
    </xf>
    <xf numFmtId="170" fontId="10" fillId="0" borderId="15" xfId="0" applyNumberFormat="1" applyFont="1" applyFill="1" applyBorder="1" applyAlignment="1">
      <alignment horizontal="center"/>
    </xf>
    <xf numFmtId="3" fontId="10" fillId="0" borderId="1" xfId="0" applyNumberFormat="1" applyFont="1" applyFill="1" applyBorder="1" applyAlignment="1">
      <alignment horizontal="center"/>
    </xf>
    <xf numFmtId="170" fontId="10" fillId="0" borderId="1" xfId="0" applyNumberFormat="1" applyFont="1" applyFill="1" applyBorder="1" applyAlignment="1" applyProtection="1">
      <alignment horizontal="center"/>
    </xf>
    <xf numFmtId="170" fontId="10" fillId="0" borderId="0" xfId="0" applyNumberFormat="1" applyFont="1" applyFill="1" applyBorder="1" applyAlignment="1">
      <alignment horizontal="center"/>
    </xf>
    <xf numFmtId="0" fontId="10" fillId="0" borderId="0" xfId="0" applyFont="1" applyFill="1" applyBorder="1"/>
    <xf numFmtId="0" fontId="10" fillId="0" borderId="0" xfId="0" applyFont="1" applyFill="1" applyBorder="1" applyAlignment="1">
      <alignment horizontal="center"/>
    </xf>
    <xf numFmtId="169" fontId="10" fillId="0" borderId="0" xfId="3" applyNumberFormat="1" applyFont="1" applyFill="1" applyBorder="1" applyAlignment="1">
      <alignment horizontal="center" vertical="center"/>
    </xf>
    <xf numFmtId="168" fontId="10" fillId="0" borderId="0" xfId="2" applyNumberFormat="1" applyFont="1" applyFill="1" applyBorder="1"/>
    <xf numFmtId="168" fontId="10" fillId="0" borderId="0" xfId="2" applyNumberFormat="1" applyFont="1" applyFill="1" applyBorder="1" applyAlignment="1">
      <alignment horizontal="center" vertical="center"/>
    </xf>
    <xf numFmtId="169" fontId="10" fillId="0" borderId="0" xfId="3" applyNumberFormat="1" applyFont="1" applyFill="1" applyBorder="1" applyAlignment="1">
      <alignment horizontal="center"/>
    </xf>
    <xf numFmtId="0" fontId="11" fillId="0" borderId="0" xfId="0" applyFont="1" applyFill="1" applyBorder="1"/>
    <xf numFmtId="170" fontId="10" fillId="0" borderId="0" xfId="3" applyNumberFormat="1" applyFont="1" applyFill="1" applyBorder="1" applyAlignment="1">
      <alignment horizontal="center"/>
    </xf>
    <xf numFmtId="0" fontId="11" fillId="0" borderId="37" xfId="0" applyFont="1" applyFill="1" applyBorder="1" applyAlignment="1">
      <alignment horizontal="center"/>
    </xf>
    <xf numFmtId="168" fontId="11" fillId="0" borderId="19" xfId="2" applyNumberFormat="1" applyFont="1" applyFill="1" applyBorder="1" applyAlignment="1">
      <alignment vertical="center" wrapText="1"/>
    </xf>
    <xf numFmtId="168" fontId="11" fillId="0" borderId="38" xfId="2" applyNumberFormat="1" applyFont="1" applyFill="1" applyBorder="1" applyAlignment="1">
      <alignment vertical="center" wrapText="1"/>
    </xf>
    <xf numFmtId="4" fontId="11" fillId="0" borderId="18" xfId="0" applyNumberFormat="1" applyFont="1" applyFill="1" applyBorder="1" applyAlignment="1">
      <alignment horizontal="left"/>
    </xf>
    <xf numFmtId="4" fontId="11" fillId="0" borderId="28" xfId="3" applyNumberFormat="1" applyFont="1" applyFill="1" applyBorder="1" applyAlignment="1">
      <alignment horizontal="center"/>
    </xf>
    <xf numFmtId="0" fontId="11" fillId="0" borderId="16" xfId="0" applyFont="1" applyFill="1" applyBorder="1" applyAlignment="1">
      <alignment horizontal="left"/>
    </xf>
    <xf numFmtId="169" fontId="11" fillId="0" borderId="7" xfId="3" applyNumberFormat="1" applyFont="1" applyFill="1" applyBorder="1" applyAlignment="1">
      <alignment horizontal="center" vertical="center"/>
    </xf>
    <xf numFmtId="168" fontId="11" fillId="0" borderId="7" xfId="2" applyNumberFormat="1" applyFont="1" applyFill="1" applyBorder="1" applyAlignment="1">
      <alignment horizontal="center" vertical="center"/>
    </xf>
    <xf numFmtId="169" fontId="11" fillId="0" borderId="7" xfId="3" applyNumberFormat="1" applyFont="1" applyFill="1" applyBorder="1" applyAlignment="1">
      <alignment horizontal="center"/>
    </xf>
    <xf numFmtId="0" fontId="11" fillId="0" borderId="7" xfId="0" applyFont="1" applyFill="1" applyBorder="1" applyAlignment="1">
      <alignment horizontal="center"/>
    </xf>
    <xf numFmtId="0" fontId="11" fillId="0" borderId="8" xfId="0" applyFont="1" applyFill="1" applyBorder="1" applyAlignment="1">
      <alignment horizontal="center"/>
    </xf>
    <xf numFmtId="0" fontId="11" fillId="0" borderId="39" xfId="0" applyFont="1" applyFill="1" applyBorder="1" applyAlignment="1">
      <alignment vertical="center"/>
    </xf>
    <xf numFmtId="0" fontId="11" fillId="0" borderId="35" xfId="0" applyFont="1" applyFill="1" applyBorder="1" applyAlignment="1">
      <alignment horizontal="left"/>
    </xf>
    <xf numFmtId="169" fontId="10" fillId="0" borderId="36" xfId="3" applyNumberFormat="1" applyFont="1" applyFill="1" applyBorder="1" applyAlignment="1">
      <alignment horizontal="center" vertical="center"/>
    </xf>
    <xf numFmtId="168" fontId="10" fillId="0" borderId="36" xfId="2" applyNumberFormat="1" applyFont="1" applyFill="1" applyBorder="1" applyAlignment="1">
      <alignment horizontal="center" vertical="center"/>
    </xf>
    <xf numFmtId="0" fontId="11" fillId="0" borderId="6" xfId="0" applyFont="1" applyFill="1" applyBorder="1" applyAlignment="1">
      <alignment horizontal="left"/>
    </xf>
    <xf numFmtId="169" fontId="10" fillId="0" borderId="7" xfId="3" applyNumberFormat="1" applyFont="1" applyFill="1" applyBorder="1" applyAlignment="1">
      <alignment horizontal="center" vertical="center"/>
    </xf>
    <xf numFmtId="168" fontId="10" fillId="0" borderId="7" xfId="2" applyNumberFormat="1" applyFont="1" applyFill="1" applyBorder="1" applyAlignment="1">
      <alignment horizontal="center" vertical="center"/>
    </xf>
    <xf numFmtId="169" fontId="10" fillId="0" borderId="7" xfId="3" applyNumberFormat="1" applyFont="1" applyFill="1" applyBorder="1" applyAlignment="1">
      <alignment horizontal="center"/>
    </xf>
    <xf numFmtId="3" fontId="10" fillId="0" borderId="7" xfId="0" applyNumberFormat="1" applyFont="1" applyFill="1" applyBorder="1" applyAlignment="1">
      <alignment horizontal="center"/>
    </xf>
    <xf numFmtId="170" fontId="10" fillId="0" borderId="7" xfId="0" applyNumberFormat="1" applyFont="1" applyFill="1" applyBorder="1" applyAlignment="1">
      <alignment horizontal="center"/>
    </xf>
    <xf numFmtId="0" fontId="10" fillId="0" borderId="8" xfId="0" applyFont="1" applyFill="1" applyBorder="1" applyAlignment="1">
      <alignment horizontal="center"/>
    </xf>
    <xf numFmtId="0" fontId="11" fillId="0" borderId="25" xfId="0" applyFont="1" applyFill="1" applyBorder="1" applyAlignment="1">
      <alignment horizontal="left"/>
    </xf>
    <xf numFmtId="169" fontId="10" fillId="0" borderId="24" xfId="3" applyNumberFormat="1" applyFont="1" applyFill="1" applyBorder="1" applyAlignment="1">
      <alignment horizontal="center" vertical="center"/>
    </xf>
    <xf numFmtId="168" fontId="10" fillId="0" borderId="24" xfId="2" applyNumberFormat="1" applyFont="1" applyFill="1" applyBorder="1" applyAlignment="1">
      <alignment horizontal="center"/>
    </xf>
    <xf numFmtId="168" fontId="10" fillId="0" borderId="24" xfId="2" applyNumberFormat="1" applyFont="1" applyFill="1" applyBorder="1" applyAlignment="1">
      <alignment horizontal="center" vertical="center"/>
    </xf>
    <xf numFmtId="169" fontId="10" fillId="0" borderId="24" xfId="3" applyNumberFormat="1" applyFont="1" applyFill="1" applyBorder="1" applyAlignment="1">
      <alignment horizontal="center"/>
    </xf>
    <xf numFmtId="168" fontId="10" fillId="0" borderId="7" xfId="2" applyNumberFormat="1" applyFont="1" applyFill="1" applyBorder="1" applyAlignment="1">
      <alignment horizontal="center"/>
    </xf>
    <xf numFmtId="0" fontId="13" fillId="0" borderId="0" xfId="0" applyFont="1" applyFill="1" applyBorder="1"/>
    <xf numFmtId="168" fontId="10" fillId="0" borderId="0" xfId="2" applyNumberFormat="1" applyFont="1" applyFill="1" applyBorder="1" applyAlignment="1">
      <alignment horizontal="center"/>
    </xf>
    <xf numFmtId="10" fontId="10" fillId="0" borderId="0" xfId="3" applyNumberFormat="1" applyFont="1" applyFill="1" applyBorder="1" applyAlignment="1">
      <alignment horizontal="center"/>
    </xf>
    <xf numFmtId="10" fontId="11" fillId="0" borderId="21" xfId="3" applyNumberFormat="1" applyFont="1" applyFill="1" applyBorder="1" applyAlignment="1">
      <alignment vertical="center"/>
    </xf>
    <xf numFmtId="172" fontId="0" fillId="0" borderId="0" xfId="0" applyNumberFormat="1"/>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center"/>
    </xf>
    <xf numFmtId="0" fontId="5" fillId="3" borderId="0" xfId="4" applyFont="1" applyFill="1" applyAlignment="1">
      <alignment horizontal="left"/>
    </xf>
    <xf numFmtId="170" fontId="10" fillId="0" borderId="46" xfId="0" applyNumberFormat="1" applyFont="1" applyFill="1" applyBorder="1" applyAlignment="1">
      <alignment horizontal="center"/>
    </xf>
    <xf numFmtId="0" fontId="20" fillId="3" borderId="0" xfId="0" applyFont="1" applyFill="1" applyAlignment="1">
      <alignment horizontal="left"/>
    </xf>
    <xf numFmtId="0" fontId="20" fillId="0" borderId="0" xfId="0" applyFont="1" applyAlignment="1">
      <alignment horizontal="left" indent="1"/>
    </xf>
    <xf numFmtId="0" fontId="5" fillId="0" borderId="0" xfId="0" applyFont="1" applyAlignment="1">
      <alignment horizontal="left" indent="2"/>
    </xf>
    <xf numFmtId="0" fontId="21" fillId="0" borderId="0" xfId="0" applyFont="1" applyAlignment="1">
      <alignment horizontal="left" indent="2"/>
    </xf>
    <xf numFmtId="41" fontId="18" fillId="4" borderId="0" xfId="10" applyFont="1" applyFill="1" applyBorder="1" applyAlignment="1">
      <alignment horizontal="center" vertical="center" wrapText="1"/>
    </xf>
    <xf numFmtId="172" fontId="20" fillId="0" borderId="0" xfId="0" applyNumberFormat="1" applyFont="1" applyAlignment="1">
      <alignment shrinkToFit="1"/>
    </xf>
    <xf numFmtId="41" fontId="22" fillId="0" borderId="0" xfId="10" applyFont="1" applyAlignment="1">
      <alignment horizontal="right" vertical="center" wrapText="1"/>
    </xf>
    <xf numFmtId="172" fontId="20" fillId="3" borderId="0" xfId="0" applyNumberFormat="1" applyFont="1" applyFill="1" applyAlignment="1">
      <alignment shrinkToFit="1"/>
    </xf>
    <xf numFmtId="41" fontId="23" fillId="0" borderId="0" xfId="10" applyFont="1" applyAlignment="1">
      <alignment horizontal="right" vertical="center" wrapText="1"/>
    </xf>
    <xf numFmtId="41" fontId="24" fillId="0" borderId="0" xfId="10" applyFont="1" applyAlignment="1">
      <alignment horizontal="right" vertical="center" wrapText="1"/>
    </xf>
    <xf numFmtId="173" fontId="0" fillId="0" borderId="0" xfId="0" applyNumberFormat="1"/>
    <xf numFmtId="41" fontId="0" fillId="0" borderId="0" xfId="0" applyNumberFormat="1"/>
    <xf numFmtId="41" fontId="23" fillId="0" borderId="0" xfId="10" applyFont="1" applyFill="1" applyAlignment="1">
      <alignment horizontal="right" vertical="center" wrapText="1"/>
    </xf>
    <xf numFmtId="41" fontId="22" fillId="0" borderId="0" xfId="10" applyFont="1" applyFill="1" applyAlignment="1">
      <alignment horizontal="right" vertical="center" wrapText="1"/>
    </xf>
    <xf numFmtId="41" fontId="0" fillId="0" borderId="0" xfId="10" applyFont="1" applyFill="1"/>
    <xf numFmtId="172" fontId="21" fillId="0" borderId="0" xfId="0" applyNumberFormat="1" applyFont="1" applyFill="1" applyAlignment="1">
      <alignment shrinkToFit="1"/>
    </xf>
    <xf numFmtId="173" fontId="0" fillId="0" borderId="0" xfId="0" applyNumberFormat="1" applyFont="1"/>
    <xf numFmtId="0" fontId="15" fillId="3" borderId="0" xfId="0" applyFont="1" applyFill="1" applyAlignment="1">
      <alignment horizontal="left"/>
    </xf>
    <xf numFmtId="0" fontId="15" fillId="0" borderId="0" xfId="0" applyFont="1" applyAlignment="1">
      <alignment horizontal="left" indent="1"/>
    </xf>
    <xf numFmtId="0" fontId="0" fillId="0" borderId="0" xfId="0" applyFont="1" applyAlignment="1">
      <alignment horizontal="left" indent="2"/>
    </xf>
    <xf numFmtId="173" fontId="15" fillId="5" borderId="0" xfId="0" applyNumberFormat="1" applyFont="1" applyFill="1"/>
    <xf numFmtId="173" fontId="0" fillId="0" borderId="0" xfId="0" applyNumberFormat="1" applyFont="1" applyFill="1"/>
    <xf numFmtId="173" fontId="15" fillId="0" borderId="0" xfId="0" applyNumberFormat="1" applyFont="1" applyFill="1"/>
    <xf numFmtId="0" fontId="0" fillId="2" borderId="0" xfId="0" applyFill="1"/>
    <xf numFmtId="0" fontId="14" fillId="2" borderId="0" xfId="8" applyFill="1"/>
    <xf numFmtId="0" fontId="25" fillId="2" borderId="0" xfId="0" applyFont="1" applyFill="1"/>
    <xf numFmtId="0" fontId="26" fillId="6" borderId="0" xfId="12">
      <alignment horizontal="left" vertical="center" indent="1"/>
    </xf>
    <xf numFmtId="0" fontId="27" fillId="2" borderId="0" xfId="0" applyFont="1" applyFill="1" applyBorder="1"/>
    <xf numFmtId="0" fontId="28" fillId="2" borderId="0" xfId="0" applyFont="1" applyFill="1" applyBorder="1"/>
    <xf numFmtId="0" fontId="29" fillId="2" borderId="0" xfId="0" applyFont="1" applyFill="1" applyBorder="1"/>
    <xf numFmtId="0" fontId="27" fillId="7" borderId="0" xfId="0" applyFont="1" applyFill="1" applyBorder="1" applyAlignment="1"/>
    <xf numFmtId="0" fontId="27" fillId="2" borderId="0" xfId="0" applyFont="1" applyFill="1" applyBorder="1" applyAlignment="1"/>
    <xf numFmtId="0" fontId="0" fillId="0" borderId="0" xfId="0" applyFont="1" applyFill="1"/>
    <xf numFmtId="0" fontId="0" fillId="0" borderId="0" xfId="0" applyFont="1" applyFill="1" applyAlignment="1">
      <alignment horizontal="center" vertical="center"/>
    </xf>
    <xf numFmtId="0" fontId="0" fillId="0" borderId="0" xfId="0" applyFont="1" applyFill="1" applyAlignment="1">
      <alignment wrapText="1"/>
    </xf>
    <xf numFmtId="167" fontId="15" fillId="0" borderId="8" xfId="0" applyNumberFormat="1" applyFont="1" applyFill="1" applyBorder="1" applyAlignment="1">
      <alignment horizontal="center" vertical="center"/>
    </xf>
    <xf numFmtId="0" fontId="0" fillId="0" borderId="28" xfId="0" applyFont="1" applyFill="1" applyBorder="1" applyAlignment="1">
      <alignment horizontal="center" vertical="center"/>
    </xf>
    <xf numFmtId="14" fontId="0" fillId="0" borderId="28" xfId="0" applyNumberFormat="1" applyFill="1" applyBorder="1" applyAlignment="1">
      <alignment horizontal="center" vertical="center"/>
    </xf>
    <xf numFmtId="14" fontId="0" fillId="0" borderId="1" xfId="0" applyNumberFormat="1" applyFill="1" applyBorder="1" applyAlignment="1">
      <alignment horizontal="center" vertical="center"/>
    </xf>
    <xf numFmtId="167" fontId="0" fillId="0" borderId="27"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32" xfId="0" applyFont="1" applyFill="1" applyBorder="1"/>
    <xf numFmtId="0" fontId="0" fillId="0" borderId="22" xfId="0" applyFont="1" applyFill="1" applyBorder="1" applyAlignment="1">
      <alignment horizontal="center" vertical="center"/>
    </xf>
    <xf numFmtId="0" fontId="15" fillId="0" borderId="43" xfId="0" applyFont="1" applyFill="1" applyBorder="1" applyAlignment="1">
      <alignment horizontal="center"/>
    </xf>
    <xf numFmtId="167" fontId="0" fillId="0" borderId="4"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xf numFmtId="0" fontId="0" fillId="0" borderId="14" xfId="0" applyFont="1" applyFill="1" applyBorder="1" applyAlignment="1">
      <alignment horizontal="center" vertical="center"/>
    </xf>
    <xf numFmtId="167" fontId="15" fillId="0" borderId="38" xfId="0" applyNumberFormat="1" applyFont="1" applyFill="1" applyBorder="1" applyAlignment="1">
      <alignment horizontal="center" vertical="center"/>
    </xf>
    <xf numFmtId="0" fontId="15" fillId="0" borderId="37" xfId="0" applyFont="1" applyFill="1" applyBorder="1" applyAlignment="1">
      <alignment horizontal="center" vertical="center"/>
    </xf>
    <xf numFmtId="0" fontId="0" fillId="0" borderId="43" xfId="0" applyFont="1" applyFill="1" applyBorder="1" applyAlignment="1">
      <alignment horizontal="center"/>
    </xf>
    <xf numFmtId="0" fontId="17" fillId="0" borderId="32" xfId="0" applyFont="1" applyFill="1" applyBorder="1" applyAlignment="1">
      <alignment horizontal="left" vertical="center"/>
    </xf>
    <xf numFmtId="14" fontId="0" fillId="0" borderId="32" xfId="0" applyNumberFormat="1" applyFill="1" applyBorder="1" applyAlignment="1">
      <alignment horizontal="center" vertical="center"/>
    </xf>
    <xf numFmtId="0" fontId="0" fillId="2" borderId="12" xfId="0" applyFill="1" applyBorder="1" applyAlignment="1">
      <alignment horizontal="justify" vertical="center" wrapText="1"/>
    </xf>
    <xf numFmtId="0" fontId="17" fillId="0" borderId="3" xfId="0" applyFont="1" applyFill="1" applyBorder="1" applyAlignment="1">
      <alignment horizontal="left" vertical="center"/>
    </xf>
    <xf numFmtId="0" fontId="0" fillId="0" borderId="1" xfId="0" applyFont="1" applyFill="1" applyBorder="1" applyAlignment="1">
      <alignment horizontal="center" vertical="center"/>
    </xf>
    <xf numFmtId="167" fontId="15" fillId="0" borderId="2" xfId="0" applyNumberFormat="1" applyFont="1" applyFill="1" applyBorder="1" applyAlignment="1">
      <alignment horizontal="center" vertical="center"/>
    </xf>
    <xf numFmtId="167" fontId="0" fillId="0" borderId="15" xfId="0" applyNumberFormat="1" applyFont="1" applyFill="1" applyBorder="1" applyAlignment="1">
      <alignment horizontal="center" vertical="center"/>
    </xf>
    <xf numFmtId="0" fontId="0" fillId="0" borderId="1" xfId="0" applyFont="1" applyFill="1" applyBorder="1"/>
    <xf numFmtId="0" fontId="0" fillId="0" borderId="12" xfId="0" applyFill="1" applyBorder="1" applyAlignment="1">
      <alignment horizontal="center" vertical="center" wrapText="1"/>
    </xf>
    <xf numFmtId="167" fontId="15" fillId="0" borderId="45" xfId="0" applyNumberFormat="1" applyFont="1" applyFill="1" applyBorder="1" applyAlignment="1">
      <alignment horizontal="center" vertical="center"/>
    </xf>
    <xf numFmtId="167" fontId="0" fillId="0" borderId="5" xfId="0" applyNumberFormat="1" applyFont="1" applyFill="1" applyBorder="1" applyAlignment="1">
      <alignment horizontal="center" vertical="center"/>
    </xf>
    <xf numFmtId="0" fontId="0" fillId="0" borderId="28" xfId="0" applyFont="1" applyFill="1" applyBorder="1"/>
    <xf numFmtId="0" fontId="0" fillId="0" borderId="44" xfId="0" applyFont="1" applyFill="1" applyBorder="1"/>
    <xf numFmtId="167" fontId="0" fillId="0" borderId="29" xfId="0" applyNumberFormat="1" applyFont="1" applyFill="1" applyBorder="1" applyAlignment="1">
      <alignment horizontal="center" vertical="center"/>
    </xf>
    <xf numFmtId="14" fontId="0" fillId="2" borderId="32" xfId="0" applyNumberFormat="1" applyFill="1" applyBorder="1" applyAlignment="1">
      <alignment horizontal="center" vertical="center"/>
    </xf>
    <xf numFmtId="0" fontId="0" fillId="0" borderId="43" xfId="0" applyFont="1" applyFill="1" applyBorder="1"/>
    <xf numFmtId="167" fontId="0" fillId="0" borderId="0" xfId="0" applyNumberFormat="1" applyFont="1" applyFill="1" applyBorder="1" applyAlignment="1">
      <alignment horizontal="center" vertical="center"/>
    </xf>
    <xf numFmtId="167" fontId="15" fillId="0" borderId="39"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8" fillId="2" borderId="0" xfId="4" applyFont="1" applyFill="1" applyAlignment="1"/>
    <xf numFmtId="0" fontId="7" fillId="2" borderId="0" xfId="4" applyFont="1" applyFill="1" applyAlignment="1"/>
    <xf numFmtId="0" fontId="3" fillId="0" borderId="0" xfId="4" applyFont="1" applyFill="1" applyAlignment="1"/>
    <xf numFmtId="0" fontId="3" fillId="2" borderId="0" xfId="4" applyFont="1" applyFill="1" applyAlignment="1"/>
    <xf numFmtId="173" fontId="0" fillId="5" borderId="0" xfId="0" applyNumberFormat="1" applyFont="1" applyFill="1"/>
    <xf numFmtId="175" fontId="0" fillId="5" borderId="0" xfId="0" applyNumberFormat="1" applyFill="1"/>
    <xf numFmtId="41" fontId="0" fillId="5" borderId="0" xfId="0" applyNumberFormat="1" applyFill="1"/>
    <xf numFmtId="168" fontId="11" fillId="0" borderId="9" xfId="2" applyNumberFormat="1" applyFont="1" applyFill="1" applyBorder="1" applyAlignment="1">
      <alignment vertical="center" wrapText="1"/>
    </xf>
    <xf numFmtId="0" fontId="11" fillId="0" borderId="20" xfId="0" applyFont="1" applyFill="1" applyBorder="1" applyAlignment="1">
      <alignment vertical="center"/>
    </xf>
    <xf numFmtId="170" fontId="11" fillId="0" borderId="28" xfId="2" applyNumberFormat="1" applyFont="1" applyFill="1" applyBorder="1" applyAlignment="1">
      <alignment horizontal="center"/>
    </xf>
    <xf numFmtId="10" fontId="11" fillId="0" borderId="7" xfId="2" applyNumberFormat="1" applyFont="1" applyFill="1" applyBorder="1" applyAlignment="1">
      <alignment horizontal="center"/>
    </xf>
    <xf numFmtId="10" fontId="11" fillId="0" borderId="7" xfId="0" applyNumberFormat="1" applyFont="1" applyFill="1" applyBorder="1" applyAlignment="1">
      <alignment horizontal="center" vertical="center"/>
    </xf>
    <xf numFmtId="3" fontId="11" fillId="0" borderId="28" xfId="0" applyNumberFormat="1" applyFont="1" applyFill="1" applyBorder="1" applyAlignment="1">
      <alignment horizontal="center"/>
    </xf>
    <xf numFmtId="10" fontId="11" fillId="0" borderId="7" xfId="0" applyNumberFormat="1" applyFont="1" applyFill="1" applyBorder="1" applyAlignment="1">
      <alignment horizontal="center"/>
    </xf>
    <xf numFmtId="164" fontId="10" fillId="0" borderId="36" xfId="2" applyNumberFormat="1" applyFont="1" applyFill="1" applyBorder="1" applyAlignment="1">
      <alignment horizontal="center"/>
    </xf>
    <xf numFmtId="3" fontId="10" fillId="0" borderId="36" xfId="0" applyNumberFormat="1" applyFont="1" applyFill="1" applyBorder="1" applyAlignment="1">
      <alignment horizontal="center"/>
    </xf>
    <xf numFmtId="170" fontId="10" fillId="0" borderId="36" xfId="0" applyNumberFormat="1" applyFont="1" applyFill="1" applyBorder="1" applyAlignment="1">
      <alignment horizontal="center"/>
    </xf>
    <xf numFmtId="10" fontId="10" fillId="0" borderId="7" xfId="2" applyNumberFormat="1" applyFont="1" applyFill="1" applyBorder="1" applyAlignment="1">
      <alignment horizontal="center"/>
    </xf>
    <xf numFmtId="10" fontId="10" fillId="0" borderId="7" xfId="0" applyNumberFormat="1" applyFont="1" applyFill="1" applyBorder="1" applyAlignment="1">
      <alignment horizontal="center"/>
    </xf>
    <xf numFmtId="3" fontId="10" fillId="0" borderId="24" xfId="0" applyNumberFormat="1" applyFont="1" applyFill="1" applyBorder="1" applyAlignment="1">
      <alignment horizontal="center"/>
    </xf>
    <xf numFmtId="170" fontId="10" fillId="0" borderId="24" xfId="0" applyNumberFormat="1" applyFont="1" applyFill="1" applyBorder="1" applyAlignment="1">
      <alignment horizontal="center"/>
    </xf>
    <xf numFmtId="170" fontId="10" fillId="0" borderId="26" xfId="0" applyNumberFormat="1" applyFont="1" applyFill="1" applyBorder="1" applyAlignment="1">
      <alignment horizontal="center"/>
    </xf>
    <xf numFmtId="0" fontId="19" fillId="4" borderId="0" xfId="0" applyFont="1" applyFill="1" applyBorder="1" applyAlignment="1">
      <alignment horizontal="center" vertical="center" wrapText="1"/>
    </xf>
    <xf numFmtId="0" fontId="14" fillId="0" borderId="0" xfId="8" applyFont="1" applyFill="1"/>
    <xf numFmtId="168" fontId="4" fillId="0" borderId="0" xfId="2" applyNumberFormat="1" applyFont="1" applyBorder="1" applyAlignment="1">
      <alignment wrapText="1"/>
    </xf>
    <xf numFmtId="169" fontId="4" fillId="0" borderId="0" xfId="6" applyNumberFormat="1" applyFont="1" applyBorder="1" applyAlignment="1">
      <alignment horizontal="center"/>
    </xf>
    <xf numFmtId="168" fontId="4" fillId="0" borderId="0" xfId="2" applyNumberFormat="1" applyFont="1" applyBorder="1"/>
    <xf numFmtId="174" fontId="4" fillId="0" borderId="0" xfId="6" applyNumberFormat="1" applyFont="1" applyAlignment="1">
      <alignment horizontal="center"/>
    </xf>
    <xf numFmtId="0" fontId="32" fillId="6" borderId="0" xfId="7" applyFont="1" applyFill="1" applyBorder="1" applyAlignment="1">
      <alignment horizontal="center" wrapText="1"/>
    </xf>
    <xf numFmtId="168" fontId="32" fillId="6" borderId="0" xfId="2" applyNumberFormat="1" applyFont="1" applyFill="1" applyBorder="1" applyAlignment="1">
      <alignment horizontal="center" wrapText="1"/>
    </xf>
    <xf numFmtId="0" fontId="4" fillId="0" borderId="0" xfId="7" applyFont="1" applyFill="1" applyBorder="1" applyAlignment="1">
      <alignment wrapText="1"/>
    </xf>
    <xf numFmtId="168" fontId="4" fillId="0" borderId="0" xfId="2" applyNumberFormat="1" applyFont="1" applyFill="1" applyBorder="1" applyAlignment="1">
      <alignment wrapText="1"/>
    </xf>
    <xf numFmtId="168" fontId="4" fillId="0" borderId="0" xfId="2" applyNumberFormat="1" applyFont="1" applyFill="1" applyBorder="1"/>
    <xf numFmtId="0" fontId="4" fillId="0" borderId="0" xfId="7" applyFont="1" applyBorder="1" applyAlignment="1">
      <alignment wrapText="1"/>
    </xf>
    <xf numFmtId="42" fontId="4" fillId="0" borderId="0" xfId="11" applyFont="1" applyFill="1" applyBorder="1"/>
    <xf numFmtId="169" fontId="4" fillId="0" borderId="0" xfId="6" applyNumberFormat="1" applyFont="1" applyFill="1" applyBorder="1" applyAlignment="1">
      <alignment horizontal="center"/>
    </xf>
    <xf numFmtId="42" fontId="4" fillId="0" borderId="0" xfId="11" applyFont="1" applyBorder="1"/>
    <xf numFmtId="168" fontId="32" fillId="6" borderId="0" xfId="2" applyNumberFormat="1" applyFont="1" applyFill="1" applyBorder="1" applyAlignment="1">
      <alignment horizontal="center" vertical="center" wrapText="1"/>
    </xf>
    <xf numFmtId="170" fontId="10" fillId="0" borderId="1" xfId="0" applyNumberFormat="1" applyFont="1" applyFill="1" applyBorder="1" applyAlignment="1" applyProtection="1">
      <alignment horizontal="center"/>
      <protection locked="0"/>
    </xf>
    <xf numFmtId="168" fontId="11" fillId="0" borderId="7" xfId="2" applyNumberFormat="1" applyFont="1" applyFill="1" applyBorder="1" applyAlignment="1">
      <alignment horizontal="center"/>
    </xf>
    <xf numFmtId="49" fontId="10" fillId="0" borderId="17" xfId="0" applyNumberFormat="1" applyFont="1" applyFill="1" applyBorder="1" applyAlignment="1" applyProtection="1">
      <protection locked="0"/>
    </xf>
    <xf numFmtId="49" fontId="10" fillId="0" borderId="40" xfId="0" applyNumberFormat="1" applyFont="1" applyFill="1" applyBorder="1" applyAlignment="1" applyProtection="1">
      <protection locked="0"/>
    </xf>
    <xf numFmtId="0" fontId="11" fillId="0" borderId="42" xfId="0" applyFont="1" applyFill="1" applyBorder="1" applyAlignment="1">
      <alignment horizontal="left"/>
    </xf>
    <xf numFmtId="0" fontId="11" fillId="0" borderId="21" xfId="0" applyFont="1" applyFill="1" applyBorder="1" applyAlignment="1">
      <alignment horizontal="center"/>
    </xf>
    <xf numFmtId="168" fontId="11" fillId="0" borderId="21" xfId="2" applyNumberFormat="1" applyFont="1" applyFill="1" applyBorder="1" applyAlignment="1">
      <alignment horizontal="center"/>
    </xf>
    <xf numFmtId="169" fontId="11" fillId="0" borderId="21" xfId="3" applyNumberFormat="1" applyFont="1" applyFill="1" applyBorder="1" applyAlignment="1">
      <alignment horizontal="center" vertical="center"/>
    </xf>
    <xf numFmtId="10" fontId="11" fillId="0" borderId="21" xfId="2" applyNumberFormat="1" applyFont="1" applyFill="1" applyBorder="1" applyAlignment="1">
      <alignment horizontal="center"/>
    </xf>
    <xf numFmtId="168" fontId="11" fillId="0" borderId="21" xfId="2" applyNumberFormat="1" applyFont="1" applyFill="1" applyBorder="1" applyAlignment="1">
      <alignment horizontal="center" vertical="center"/>
    </xf>
    <xf numFmtId="169" fontId="11" fillId="0" borderId="21" xfId="3" applyNumberFormat="1" applyFont="1" applyFill="1" applyBorder="1" applyAlignment="1">
      <alignment horizontal="center"/>
    </xf>
    <xf numFmtId="10" fontId="11" fillId="0" borderId="21" xfId="0" applyNumberFormat="1" applyFont="1" applyFill="1" applyBorder="1" applyAlignment="1">
      <alignment horizontal="center"/>
    </xf>
    <xf numFmtId="0" fontId="11" fillId="0" borderId="39" xfId="0" applyFont="1" applyFill="1" applyBorder="1" applyAlignment="1">
      <alignment horizontal="center"/>
    </xf>
    <xf numFmtId="175" fontId="0" fillId="5" borderId="0" xfId="0" applyNumberFormat="1" applyFont="1" applyFill="1"/>
    <xf numFmtId="0" fontId="15" fillId="0" borderId="9" xfId="0" applyFont="1" applyFill="1" applyBorder="1" applyAlignment="1">
      <alignment horizontal="left" vertical="center"/>
    </xf>
    <xf numFmtId="0" fontId="15" fillId="0" borderId="19"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0" xfId="0" applyFont="1" applyFill="1" applyAlignment="1">
      <alignment horizontal="center"/>
    </xf>
    <xf numFmtId="0" fontId="16" fillId="0" borderId="0" xfId="4" applyFont="1" applyFill="1" applyAlignment="1">
      <alignment horizontal="center"/>
    </xf>
    <xf numFmtId="0" fontId="15" fillId="0" borderId="0" xfId="0" applyFont="1" applyFill="1" applyAlignment="1">
      <alignment horizontal="center" vertical="center"/>
    </xf>
    <xf numFmtId="0" fontId="0" fillId="0" borderId="0" xfId="0" applyFont="1" applyFill="1" applyAlignment="1">
      <alignment horizontal="left" vertical="center" wrapText="1"/>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11" xfId="0" applyFont="1" applyFill="1" applyBorder="1" applyAlignment="1">
      <alignment horizontal="center"/>
    </xf>
    <xf numFmtId="0" fontId="15" fillId="0" borderId="8" xfId="0" applyFont="1" applyFill="1" applyBorder="1" applyAlignment="1">
      <alignment horizont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8" xfId="0" applyFont="1" applyFill="1" applyBorder="1" applyAlignment="1">
      <alignment horizontal="left" vertical="center"/>
    </xf>
    <xf numFmtId="0" fontId="15" fillId="0" borderId="19"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37"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9"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10" xfId="0" applyFont="1" applyFill="1" applyBorder="1" applyAlignment="1">
      <alignment horizontal="right" vertical="center"/>
    </xf>
    <xf numFmtId="0" fontId="0" fillId="0" borderId="0" xfId="0" applyAlignment="1">
      <alignment horizontal="center"/>
    </xf>
    <xf numFmtId="0" fontId="8" fillId="2" borderId="0" xfId="4" applyFont="1" applyFill="1" applyAlignment="1">
      <alignment horizontal="center"/>
    </xf>
    <xf numFmtId="0" fontId="7" fillId="2" borderId="0" xfId="4" applyFont="1" applyFill="1" applyAlignment="1">
      <alignment horizontal="center"/>
    </xf>
    <xf numFmtId="0" fontId="31" fillId="0" borderId="0" xfId="4" applyFont="1" applyFill="1" applyAlignment="1">
      <alignment horizontal="center"/>
    </xf>
    <xf numFmtId="0" fontId="31" fillId="2" borderId="0" xfId="4" applyFont="1" applyFill="1" applyAlignment="1">
      <alignment horizontal="center"/>
    </xf>
  </cellXfs>
  <cellStyles count="13">
    <cellStyle name="Encabezado_tabla" xfId="12" xr:uid="{00000000-0005-0000-0000-000000000000}"/>
    <cellStyle name="Hipervínculo" xfId="8" builtinId="8"/>
    <cellStyle name="Millares" xfId="1" builtinId="3"/>
    <cellStyle name="Millares [0]" xfId="10" builtinId="6"/>
    <cellStyle name="Millares 2" xfId="6" xr:uid="{00000000-0005-0000-0000-000004000000}"/>
    <cellStyle name="Millares 3" xfId="9" xr:uid="{00000000-0005-0000-0000-000005000000}"/>
    <cellStyle name="Moneda" xfId="2" builtinId="4"/>
    <cellStyle name="Moneda [0]" xfId="11" builtinId="7"/>
    <cellStyle name="Normal" xfId="0" builtinId="0"/>
    <cellStyle name="Normal 2" xfId="5" xr:uid="{00000000-0005-0000-0000-000009000000}"/>
    <cellStyle name="Normal 3" xfId="4" xr:uid="{00000000-0005-0000-0000-00000A000000}"/>
    <cellStyle name="Normal 3 2" xfId="7" xr:uid="{00000000-0005-0000-0000-00000B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4</xdr:row>
      <xdr:rowOff>9525</xdr:rowOff>
    </xdr:from>
    <xdr:ext cx="9429750" cy="1323975"/>
    <xdr:pic>
      <xdr:nvPicPr>
        <xdr:cNvPr id="2" name="2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771525"/>
          <a:ext cx="9429750" cy="1323975"/>
        </a:xfrm>
        <a:prstGeom prst="rect">
          <a:avLst/>
        </a:prstGeom>
      </xdr:spPr>
    </xdr:pic>
    <xdr:clientData/>
  </xdr:oneCellAnchor>
  <xdr:oneCellAnchor>
    <xdr:from>
      <xdr:col>1</xdr:col>
      <xdr:colOff>19050</xdr:colOff>
      <xdr:row>0</xdr:row>
      <xdr:rowOff>0</xdr:rowOff>
    </xdr:from>
    <xdr:ext cx="1581150" cy="733425"/>
    <xdr:pic>
      <xdr:nvPicPr>
        <xdr:cNvPr id="3" name="Imagen 2" descr="cid:image001.png@01D413AD.C8378A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0"/>
          <a:ext cx="1581150" cy="7334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jas/Desktop/DPA/BASE%20PROGRAMAS%2001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RESUMEN"/>
      <sheetName val="CIVILES"/>
      <sheetName val="ECLESIÁSTICOS"/>
    </sheetNames>
    <sheetDataSet>
      <sheetData sheetId="0">
        <row r="1">
          <cell r="A1" t="str">
            <v>SNIES</v>
          </cell>
          <cell r="B1" t="str">
            <v>PROGRAMA</v>
          </cell>
          <cell r="C1" t="str">
            <v>RELACIONES DE DOCENCIA SERVICIO AVALADAS</v>
          </cell>
        </row>
        <row r="2">
          <cell r="A2" t="str">
            <v>953</v>
          </cell>
          <cell r="B2" t="str">
            <v>ADMINISTRACIÓN DE EMPRESAS</v>
          </cell>
          <cell r="C2" t="str">
            <v>NO APLICA</v>
          </cell>
        </row>
        <row r="3">
          <cell r="A3" t="str">
            <v>20476</v>
          </cell>
          <cell r="B3" t="str">
            <v>ANTROPOLOGÍA</v>
          </cell>
          <cell r="C3" t="str">
            <v>NO APLICA</v>
          </cell>
        </row>
        <row r="4">
          <cell r="A4" t="str">
            <v>962</v>
          </cell>
          <cell r="B4" t="str">
            <v>ARQUITECTURA</v>
          </cell>
          <cell r="C4" t="str">
            <v>NO APLICA</v>
          </cell>
        </row>
        <row r="5">
          <cell r="A5" t="str">
            <v>103081</v>
          </cell>
          <cell r="B5" t="str">
            <v>ARTES ESCÉNICAS</v>
          </cell>
          <cell r="C5" t="str">
            <v>NO APLICA</v>
          </cell>
        </row>
        <row r="6">
          <cell r="A6" t="str">
            <v>4876</v>
          </cell>
          <cell r="B6" t="str">
            <v>ARTES VISUALES</v>
          </cell>
          <cell r="C6" t="str">
            <v>NO APLICA</v>
          </cell>
        </row>
        <row r="7">
          <cell r="A7" t="str">
            <v>PROGRAMA ECLESIÁSTICO</v>
          </cell>
          <cell r="B7" t="str">
            <v>BACHILLERATO ECLESIÁSTICO EN FILOSOFÍA</v>
          </cell>
          <cell r="C7" t="str">
            <v>NO APLICA</v>
          </cell>
        </row>
        <row r="8">
          <cell r="A8" t="str">
            <v>PROGRAMA ECLESIÁSTICO 1</v>
          </cell>
          <cell r="B8" t="str">
            <v>BACHILLERATO ECLESIÁSTICO EN TEOLOGÍA</v>
          </cell>
          <cell r="C8" t="str">
            <v>NO APLICA</v>
          </cell>
        </row>
        <row r="9">
          <cell r="A9" t="str">
            <v>PROGRAMA ECLESIÁSTICO 2</v>
          </cell>
          <cell r="B9" t="str">
            <v>BACHILLERATO ECLESIÁSTICO EN TEOLOGÍA</v>
          </cell>
          <cell r="C9" t="str">
            <v>NO APLICA</v>
          </cell>
        </row>
        <row r="10">
          <cell r="A10" t="str">
            <v>943</v>
          </cell>
          <cell r="B10" t="str">
            <v>BACTERIOLOGÍA</v>
          </cell>
          <cell r="C10" t="str">
            <v>SI</v>
          </cell>
        </row>
        <row r="11">
          <cell r="A11" t="str">
            <v>108889</v>
          </cell>
          <cell r="B11" t="str">
            <v>BIOINGENIERÍA</v>
          </cell>
          <cell r="C11" t="str">
            <v>NO APLICA</v>
          </cell>
        </row>
        <row r="12">
          <cell r="A12" t="str">
            <v>964</v>
          </cell>
          <cell r="B12" t="str">
            <v>BIOLOGÍA</v>
          </cell>
          <cell r="C12" t="str">
            <v>NO APLICA</v>
          </cell>
        </row>
        <row r="13">
          <cell r="A13" t="str">
            <v>108890</v>
          </cell>
          <cell r="B13" t="str">
            <v>CIENCIA DE DATOS</v>
          </cell>
          <cell r="C13" t="str">
            <v>NO APLICA</v>
          </cell>
        </row>
        <row r="14">
          <cell r="A14" t="str">
            <v>948</v>
          </cell>
          <cell r="B14" t="str">
            <v>CIENCIA DE LA INFORMACIÓN - BIBLIOTECOLOGÍA</v>
          </cell>
          <cell r="C14" t="str">
            <v>NO APLICA</v>
          </cell>
        </row>
        <row r="15">
          <cell r="A15" t="str">
            <v>3078</v>
          </cell>
          <cell r="B15" t="str">
            <v>CIENCIA POLÍTICA</v>
          </cell>
          <cell r="C15" t="str">
            <v>NO APLICA</v>
          </cell>
        </row>
        <row r="16">
          <cell r="A16" t="str">
            <v>949</v>
          </cell>
          <cell r="B16" t="str">
            <v>COMUNICACIÓN SOCIAL</v>
          </cell>
          <cell r="C16" t="str">
            <v>NO APLICA</v>
          </cell>
        </row>
        <row r="17">
          <cell r="A17" t="str">
            <v>954</v>
          </cell>
          <cell r="B17" t="str">
            <v>CONTADURÍA PUBLICA</v>
          </cell>
          <cell r="C17" t="str">
            <v>NO APLICA</v>
          </cell>
        </row>
        <row r="18">
          <cell r="A18" t="str">
            <v>951</v>
          </cell>
          <cell r="B18" t="str">
            <v>DERECHO</v>
          </cell>
          <cell r="C18" t="str">
            <v>NO APLICA</v>
          </cell>
        </row>
        <row r="19">
          <cell r="A19" t="str">
            <v>925</v>
          </cell>
          <cell r="B19" t="str">
            <v>DISEÑO INDUSTRIAL</v>
          </cell>
          <cell r="C19" t="str">
            <v>NO APLICA</v>
          </cell>
        </row>
        <row r="20">
          <cell r="A20" t="str">
            <v>PROGRAMA ECLESIÁSTICO 3</v>
          </cell>
          <cell r="B20" t="str">
            <v>DOCTORADO ECLESIÁSTICO EN DERECHO CANÓNICO</v>
          </cell>
          <cell r="C20" t="str">
            <v>NO APLICA</v>
          </cell>
        </row>
        <row r="21">
          <cell r="A21" t="str">
            <v>PROGRAMA ECLESIÁSTICO 4</v>
          </cell>
          <cell r="B21" t="str">
            <v>DOCTORADO ECLESIÁSTICO EN FILOSOFÍA</v>
          </cell>
          <cell r="C21" t="str">
            <v>NO APLICA</v>
          </cell>
        </row>
        <row r="22">
          <cell r="A22" t="str">
            <v>PROGRAMA ECLESIÁSTICO 5</v>
          </cell>
          <cell r="B22" t="str">
            <v>DOCTORADO ECLESIÁSTICO EN TEOLOGÍA</v>
          </cell>
          <cell r="C22" t="str">
            <v>NO APLICA</v>
          </cell>
        </row>
        <row r="23">
          <cell r="A23" t="str">
            <v>108267</v>
          </cell>
          <cell r="B23" t="str">
            <v>DOCTORADO EN CIENCIA Y TECNOLOGÍA DE MATERIALES</v>
          </cell>
          <cell r="C23" t="str">
            <v>NO APLICA</v>
          </cell>
        </row>
        <row r="24">
          <cell r="A24" t="str">
            <v>5331</v>
          </cell>
          <cell r="B24" t="str">
            <v>DOCTORADO EN CIENCIAS BIOLÓGICAS</v>
          </cell>
          <cell r="C24" t="str">
            <v>NO APLICA</v>
          </cell>
        </row>
        <row r="25">
          <cell r="A25" t="str">
            <v>53471</v>
          </cell>
          <cell r="B25" t="str">
            <v>DOCTORADO EN CIENCIAS JURÍDICAS</v>
          </cell>
          <cell r="C25" t="str">
            <v>NO APLICA</v>
          </cell>
        </row>
        <row r="26">
          <cell r="A26" t="str">
            <v>54104</v>
          </cell>
          <cell r="B26" t="str">
            <v>DOCTORADO EN CIENCIAS SOCIALES Y HUMANAS</v>
          </cell>
          <cell r="C26" t="str">
            <v>NO APLICA</v>
          </cell>
        </row>
        <row r="27">
          <cell r="A27" t="str">
            <v>107417</v>
          </cell>
          <cell r="B27" t="str">
            <v>DOCTORADO EN COMUNICACIÓN, LENGUAJES E INFORMACIÓN</v>
          </cell>
          <cell r="C27" t="str">
            <v>NO APLICA</v>
          </cell>
        </row>
        <row r="28">
          <cell r="A28" t="str">
            <v>107650</v>
          </cell>
          <cell r="B28" t="str">
            <v>DOCTORADO EN ECONOMÍA</v>
          </cell>
          <cell r="C28" t="str">
            <v>NO APLICA</v>
          </cell>
        </row>
        <row r="29">
          <cell r="A29" t="str">
            <v>104684</v>
          </cell>
          <cell r="B29" t="str">
            <v>DOCTORADO EN EPIDEMIOLOGÍA CLÍNICA</v>
          </cell>
          <cell r="C29" t="str">
            <v>NO APLICA</v>
          </cell>
        </row>
        <row r="30">
          <cell r="A30" t="str">
            <v>52283</v>
          </cell>
          <cell r="B30" t="str">
            <v>DOCTORADO EN ESTUDIOS AMBIENTALES Y RURALES</v>
          </cell>
          <cell r="C30" t="str">
            <v>NO APLICA</v>
          </cell>
        </row>
        <row r="31">
          <cell r="A31" t="str">
            <v>1037</v>
          </cell>
          <cell r="B31" t="str">
            <v>DOCTORADO EN FILOSOFÍA</v>
          </cell>
          <cell r="C31" t="str">
            <v>NO APLICA</v>
          </cell>
        </row>
        <row r="32">
          <cell r="A32" t="str">
            <v>53804</v>
          </cell>
          <cell r="B32" t="str">
            <v>DOCTORADO EN INGENIERÍA</v>
          </cell>
          <cell r="C32" t="str">
            <v>NO APLICA</v>
          </cell>
        </row>
        <row r="33">
          <cell r="A33" t="str">
            <v>105986</v>
          </cell>
          <cell r="B33" t="str">
            <v>DOCTORADO EN PSICOLOGÍA</v>
          </cell>
          <cell r="C33" t="str">
            <v>NO APLICA</v>
          </cell>
        </row>
        <row r="34">
          <cell r="A34" t="str">
            <v>1038</v>
          </cell>
          <cell r="B34" t="str">
            <v>DOCTORADO EN TEOLOGÍA</v>
          </cell>
          <cell r="C34" t="str">
            <v>NO APLICA</v>
          </cell>
        </row>
        <row r="35">
          <cell r="A35" t="str">
            <v>2842</v>
          </cell>
          <cell r="B35" t="str">
            <v>ECOLOGÍA</v>
          </cell>
          <cell r="C35" t="str">
            <v>NO APLICA</v>
          </cell>
        </row>
        <row r="36">
          <cell r="A36" t="str">
            <v>952</v>
          </cell>
          <cell r="B36" t="str">
            <v>ECONOMÍA</v>
          </cell>
          <cell r="C36" t="str">
            <v>NO APLICA</v>
          </cell>
        </row>
        <row r="37">
          <cell r="A37" t="str">
            <v>944</v>
          </cell>
          <cell r="B37" t="str">
            <v>ENFERMERÍA</v>
          </cell>
          <cell r="C37" t="str">
            <v>SI</v>
          </cell>
        </row>
        <row r="38">
          <cell r="A38" t="str">
            <v>107886</v>
          </cell>
          <cell r="B38" t="str">
            <v>ESPECIALIZACIÓN EN ADMINISTRACIÓN DE SALUD</v>
          </cell>
          <cell r="C38" t="str">
            <v>NO APLICA</v>
          </cell>
        </row>
        <row r="39">
          <cell r="A39" t="str">
            <v>4420</v>
          </cell>
          <cell r="B39" t="str">
            <v>ESPECIALIZACIÓN EN ANÁLISIS QUÍMICO INSTRUMENTAL</v>
          </cell>
          <cell r="C39" t="str">
            <v>NO APLICA</v>
          </cell>
        </row>
        <row r="40">
          <cell r="A40" t="str">
            <v>967</v>
          </cell>
          <cell r="B40" t="str">
            <v>ESPECIALIZACIÓN EN ANESTESIOLOGÍA</v>
          </cell>
          <cell r="C40" t="str">
            <v>SI</v>
          </cell>
        </row>
        <row r="41">
          <cell r="A41" t="str">
            <v>52988</v>
          </cell>
          <cell r="B41" t="str">
            <v>ESPECIALIZACIÓN EN ARQUITECTURA EMPRESARIAL DE SOFTWARE</v>
          </cell>
          <cell r="C41" t="str">
            <v>NO APLICA</v>
          </cell>
        </row>
        <row r="42">
          <cell r="A42" t="str">
            <v>17772</v>
          </cell>
          <cell r="B42" t="str">
            <v>ESPECIALIZACIÓN EN ASEGURAMIENTO Y CONTROL INTERNO</v>
          </cell>
          <cell r="C42" t="str">
            <v>NO APLICA</v>
          </cell>
        </row>
        <row r="43">
          <cell r="A43" t="str">
            <v>108450</v>
          </cell>
          <cell r="B43" t="str">
            <v>ESPECIALIZACIÓN EN ASEGURAMIENTO Y CONTROL INTERNO</v>
          </cell>
          <cell r="C43" t="str">
            <v>NO APLICA</v>
          </cell>
        </row>
        <row r="44">
          <cell r="A44" t="str">
            <v>3465</v>
          </cell>
          <cell r="B44" t="str">
            <v>ESPECIALIZACIÓN EN CARDIOLOGÍA</v>
          </cell>
          <cell r="C44" t="str">
            <v>SI</v>
          </cell>
        </row>
        <row r="45">
          <cell r="A45" t="str">
            <v>109108</v>
          </cell>
          <cell r="B45" t="str">
            <v>ESPECIALIZACIÓN EN CARDIOLOGÍA INTERVENCIONISTA Y HEMODINAMIA</v>
          </cell>
          <cell r="C45" t="str">
            <v>SI</v>
          </cell>
        </row>
        <row r="46">
          <cell r="A46" t="str">
            <v>5029</v>
          </cell>
          <cell r="B46" t="str">
            <v>ESPECIALIZACIÓN EN CIRUGÍA CARDIOVASCULAR</v>
          </cell>
          <cell r="C46" t="str">
            <v>SI</v>
          </cell>
        </row>
        <row r="47">
          <cell r="A47" t="str">
            <v>106536</v>
          </cell>
          <cell r="B47" t="str">
            <v>ESPECIALIZACIÓN EN CIRUGÍA DE MANO</v>
          </cell>
          <cell r="C47" t="str">
            <v>SI</v>
          </cell>
        </row>
        <row r="48">
          <cell r="A48" t="str">
            <v>968</v>
          </cell>
          <cell r="B48" t="str">
            <v>ESPECIALIZACIÓN EN CIRUGÍA GENERAL</v>
          </cell>
          <cell r="C48" t="str">
            <v>SI</v>
          </cell>
        </row>
        <row r="49">
          <cell r="A49" t="str">
            <v>105877</v>
          </cell>
          <cell r="B49" t="str">
            <v>ESPECIALIZACIÓN EN CIRUGÍA MAXILOFACIAL</v>
          </cell>
          <cell r="C49" t="str">
            <v>SI</v>
          </cell>
        </row>
        <row r="50">
          <cell r="A50" t="str">
            <v>969</v>
          </cell>
          <cell r="B50" t="str">
            <v>ESPECIALIZACIÓN EN CIRUGÍA PLÁSTICA</v>
          </cell>
          <cell r="C50" t="str">
            <v>SI</v>
          </cell>
        </row>
        <row r="51">
          <cell r="A51" t="str">
            <v>15653</v>
          </cell>
          <cell r="B51" t="str">
            <v>ESPECIALIZACIÓN EN COMUNICACIÓN ORGANIZACIONAL</v>
          </cell>
          <cell r="C51" t="str">
            <v>NO APLICA</v>
          </cell>
        </row>
        <row r="52">
          <cell r="A52" t="str">
            <v>17770</v>
          </cell>
          <cell r="B52" t="str">
            <v>ESPECIALIZACIÓN EN CONTABILIDAD FINANCIERA INTERNACIONAL</v>
          </cell>
          <cell r="C52" t="str">
            <v>NO APLICA</v>
          </cell>
        </row>
        <row r="53">
          <cell r="A53" t="str">
            <v>104848</v>
          </cell>
          <cell r="B53" t="str">
            <v>ESPECIALIZACIÓN EN CONTABILIDAD FINANCIERA INTERNACIONAL</v>
          </cell>
          <cell r="C53" t="str">
            <v>NO APLICA</v>
          </cell>
        </row>
        <row r="54">
          <cell r="A54" t="str">
            <v>104906</v>
          </cell>
          <cell r="B54" t="str">
            <v>ESPECIALIZACIÓN EN CONTABILIDAD FINANCIERA INTERNACIONAL</v>
          </cell>
          <cell r="C54" t="str">
            <v>NO APLICA</v>
          </cell>
        </row>
        <row r="55">
          <cell r="A55" t="str">
            <v>108581</v>
          </cell>
          <cell r="B55" t="str">
            <v>ESPECIALIZACIÓN EN CONTABILIDAD FINANCIERA INTERNACIONAL</v>
          </cell>
          <cell r="C55" t="str">
            <v>NO APLICA</v>
          </cell>
        </row>
        <row r="56">
          <cell r="A56" t="str">
            <v>17771</v>
          </cell>
          <cell r="B56" t="str">
            <v>ESPECIALIZACIÓN EN CONTABILIDAD GERENCIAL</v>
          </cell>
          <cell r="C56" t="str">
            <v>NO APLICA</v>
          </cell>
        </row>
        <row r="57">
          <cell r="A57" t="str">
            <v>7796</v>
          </cell>
          <cell r="B57" t="str">
            <v>ESPECIALIZACIÓN EN DERECHO ADMINISTRATIVO</v>
          </cell>
          <cell r="C57" t="str">
            <v>NO APLICA</v>
          </cell>
        </row>
        <row r="58">
          <cell r="A58" t="str">
            <v>1001</v>
          </cell>
          <cell r="B58" t="str">
            <v>ESPECIALIZACIÓN EN DERECHO COMERCIAL</v>
          </cell>
          <cell r="C58" t="str">
            <v>NO APLICA</v>
          </cell>
        </row>
        <row r="59">
          <cell r="A59" t="str">
            <v>1002</v>
          </cell>
          <cell r="B59" t="str">
            <v>ESPECIALIZACIÓN EN DERECHO DE FAMILIA</v>
          </cell>
          <cell r="C59" t="str">
            <v>NO APLICA</v>
          </cell>
        </row>
        <row r="60">
          <cell r="A60" t="str">
            <v>105154</v>
          </cell>
          <cell r="B60" t="str">
            <v>ESPECIALIZACIÓN EN DERECHO DE LA COMPETENCIA</v>
          </cell>
          <cell r="C60" t="str">
            <v>NO APLICA</v>
          </cell>
        </row>
        <row r="61">
          <cell r="A61" t="str">
            <v>108258</v>
          </cell>
          <cell r="B61" t="str">
            <v>ESPECIALIZACIÓN EN DERECHO DE LA COMPETENCIA</v>
          </cell>
          <cell r="C61" t="str">
            <v>NO APLICA</v>
          </cell>
        </row>
        <row r="62">
          <cell r="A62" t="str">
            <v>15430</v>
          </cell>
          <cell r="B62" t="str">
            <v>ESPECIALIZACIÓN EN DERECHO DE LA SEGURIDAD SOCIAL</v>
          </cell>
          <cell r="C62" t="str">
            <v>NO APLICA</v>
          </cell>
        </row>
        <row r="63">
          <cell r="A63" t="str">
            <v>1005</v>
          </cell>
          <cell r="B63" t="str">
            <v>ESPECIALIZACIÓN EN DERECHO DE SEGUROS</v>
          </cell>
          <cell r="C63" t="str">
            <v>NO APLICA</v>
          </cell>
        </row>
        <row r="64">
          <cell r="A64" t="str">
            <v>55101</v>
          </cell>
          <cell r="B64" t="str">
            <v>ESPECIALIZACIÓN EN DERECHO DE SEGUROS</v>
          </cell>
          <cell r="C64" t="str">
            <v>NO APLICA</v>
          </cell>
        </row>
        <row r="65">
          <cell r="A65" t="str">
            <v>1006</v>
          </cell>
          <cell r="B65" t="str">
            <v>ESPECIALIZACIÓN EN DERECHO DE SOCIEDADES</v>
          </cell>
          <cell r="C65" t="str">
            <v>NO APLICA</v>
          </cell>
        </row>
        <row r="66">
          <cell r="A66" t="str">
            <v>106258</v>
          </cell>
          <cell r="B66" t="str">
            <v>ESPECIALIZACION EN DERECHO FINANCIERO Y DE MERCADO DE VALORES</v>
          </cell>
          <cell r="C66" t="str">
            <v>NO APLICA</v>
          </cell>
        </row>
        <row r="67">
          <cell r="A67" t="str">
            <v>1003</v>
          </cell>
          <cell r="B67" t="str">
            <v>ESPECIALIZACIÓN EN DERECHO LABORAL</v>
          </cell>
          <cell r="C67" t="str">
            <v>NO APLICA</v>
          </cell>
        </row>
        <row r="68">
          <cell r="A68" t="str">
            <v>107962</v>
          </cell>
          <cell r="B68" t="str">
            <v>ESPECIALIZACIÓN EN DERECHO MATRIMONIAL CANÓNICO</v>
          </cell>
          <cell r="C68" t="str">
            <v>NO APLICA</v>
          </cell>
        </row>
        <row r="69">
          <cell r="A69" t="str">
            <v>3094</v>
          </cell>
          <cell r="B69" t="str">
            <v>ESPECIALIZACIÓN EN DERECHO SUSTANTIVO Y CONTENCIOSO CONSTITUCIONAL</v>
          </cell>
          <cell r="C69" t="str">
            <v>NO APLICA</v>
          </cell>
        </row>
        <row r="70">
          <cell r="A70" t="str">
            <v>20535</v>
          </cell>
          <cell r="B70" t="str">
            <v>ESPECIALIZACIÓN EN DERECHO TRIBUTARIO</v>
          </cell>
          <cell r="C70" t="str">
            <v>NO APLICA</v>
          </cell>
        </row>
        <row r="71">
          <cell r="A71" t="str">
            <v>53061</v>
          </cell>
          <cell r="B71" t="str">
            <v>ESPECIALIZACIÓN EN DERECHO URBANÍSTICO</v>
          </cell>
          <cell r="C71" t="str">
            <v>NO APLICA</v>
          </cell>
        </row>
        <row r="72">
          <cell r="A72" t="str">
            <v>108894</v>
          </cell>
          <cell r="B72" t="str">
            <v>ESPECIALIZACIÓN EN DERECHO URBANÍSTICO</v>
          </cell>
          <cell r="C72" t="str">
            <v>NO APLICA</v>
          </cell>
        </row>
        <row r="73">
          <cell r="A73" t="str">
            <v>105876</v>
          </cell>
          <cell r="B73" t="str">
            <v>ESPECIALIZACIÓN EN DERMATOLOGÍA</v>
          </cell>
          <cell r="C73" t="str">
            <v>SI</v>
          </cell>
        </row>
        <row r="74">
          <cell r="A74" t="str">
            <v>20576</v>
          </cell>
          <cell r="B74" t="str">
            <v>ESPECIALIZACIÓN EN DISEÑO Y GERENCIA DE PRODUCTO PARA LA EXPORTACIÓN</v>
          </cell>
          <cell r="C74" t="str">
            <v>NO APLICA</v>
          </cell>
        </row>
        <row r="75">
          <cell r="A75" t="str">
            <v>53315</v>
          </cell>
          <cell r="B75" t="str">
            <v>ESPECIALIZACIÓN EN ECONOMÍA PARA NO ECONOMISTAS</v>
          </cell>
          <cell r="C75" t="str">
            <v>NO APLICA</v>
          </cell>
        </row>
        <row r="76">
          <cell r="A76" t="str">
            <v>106024</v>
          </cell>
          <cell r="B76" t="str">
            <v>ESPECIALIZACIÓN EN ELECTROFISIOLOGÍA CLÍNICA, ESTIMULACIÓN Y ARRITMIAS CARDÍACAS</v>
          </cell>
          <cell r="C76" t="str">
            <v>SI</v>
          </cell>
        </row>
        <row r="77">
          <cell r="A77" t="str">
            <v>2513</v>
          </cell>
          <cell r="B77" t="str">
            <v>ESPECIALIZACIÓN EN ENDOCRINOLOGÍA</v>
          </cell>
          <cell r="C77" t="str">
            <v>SI</v>
          </cell>
        </row>
        <row r="78">
          <cell r="A78" t="str">
            <v>971</v>
          </cell>
          <cell r="B78" t="str">
            <v>ESPECIALIZACIÓN EN ENDODONCIA</v>
          </cell>
          <cell r="C78" t="str">
            <v>SI</v>
          </cell>
        </row>
        <row r="79">
          <cell r="A79" t="str">
            <v>998</v>
          </cell>
          <cell r="B79" t="str">
            <v>ESPECIALIZACIÓN EN ENFERMERÍA EN CUIDADO CRITICO</v>
          </cell>
          <cell r="C79" t="str">
            <v>SI</v>
          </cell>
        </row>
        <row r="80">
          <cell r="A80" t="str">
            <v>7690</v>
          </cell>
          <cell r="B80" t="str">
            <v>ESPECIALIZACIÓN EN ENFERMERÍA PEDIÁTRICA</v>
          </cell>
          <cell r="C80" t="str">
            <v>SI</v>
          </cell>
        </row>
        <row r="81">
          <cell r="A81" t="str">
            <v>109107</v>
          </cell>
          <cell r="B81" t="str">
            <v>ESPECIALIZACIÓN EN GASTROENTEROLOGÍA</v>
          </cell>
          <cell r="C81" t="str">
            <v>SI</v>
          </cell>
        </row>
        <row r="82">
          <cell r="A82" t="str">
            <v>11106</v>
          </cell>
          <cell r="B82" t="str">
            <v>ESPECIALIZACIÓN EN GENÉTICA MEDICA</v>
          </cell>
          <cell r="C82" t="str">
            <v>SI</v>
          </cell>
        </row>
        <row r="83">
          <cell r="A83" t="str">
            <v>12080</v>
          </cell>
          <cell r="B83" t="str">
            <v>ESPECIALIZACIÓN EN GEOTECNIA VIAL Y PAVIMENTOS</v>
          </cell>
          <cell r="C83" t="str">
            <v>NO APLICA</v>
          </cell>
        </row>
        <row r="84">
          <cell r="A84" t="str">
            <v>1008</v>
          </cell>
          <cell r="B84" t="str">
            <v>ESPECIALIZACIÓN EN GERENCIA DE CONSTRUCCIONES</v>
          </cell>
          <cell r="C84" t="str">
            <v>NO APLICA</v>
          </cell>
        </row>
        <row r="85">
          <cell r="A85" t="str">
            <v>51799</v>
          </cell>
          <cell r="B85" t="str">
            <v>ESPECIALIZACIÓN EN GERENCIA DE LA CALIDAD DE LOS SERVICIOS DE SALUD</v>
          </cell>
          <cell r="C85" t="str">
            <v>NO APLICA</v>
          </cell>
        </row>
        <row r="86">
          <cell r="A86" t="str">
            <v>106972</v>
          </cell>
          <cell r="B86" t="str">
            <v>ESPECIALIZACIÓN EN GERENCIA DE PROYECTOS DE TECNOLOGÍAS DE LA INFORMACIÓN</v>
          </cell>
          <cell r="C86" t="str">
            <v>NO APLICA</v>
          </cell>
        </row>
        <row r="87">
          <cell r="A87" t="str">
            <v>8573</v>
          </cell>
          <cell r="B87" t="str">
            <v>ESPECIALIZACIÓN EN GERENCIA DEL TALENTO HUMANO</v>
          </cell>
          <cell r="C87" t="str">
            <v>NO APLICA</v>
          </cell>
        </row>
        <row r="88">
          <cell r="A88" t="str">
            <v>107981</v>
          </cell>
          <cell r="B88" t="str">
            <v>ESPECIALIZACIÓN EN GERENCIA ESTRATÉGICA DE LA INNOVACIÓN</v>
          </cell>
          <cell r="C88" t="str">
            <v>NO APLICA</v>
          </cell>
        </row>
        <row r="89">
          <cell r="A89" t="str">
            <v>8124</v>
          </cell>
          <cell r="B89" t="str">
            <v>ESPECIALIZACIÓN EN GERENCIA FINANCIERA</v>
          </cell>
          <cell r="C89" t="str">
            <v>NO APLICA</v>
          </cell>
        </row>
        <row r="90">
          <cell r="A90" t="str">
            <v>1007</v>
          </cell>
          <cell r="B90" t="str">
            <v>ESPECIALIZACIÓN EN GERENCIA HOSPITALARIA</v>
          </cell>
          <cell r="C90" t="str">
            <v>NO APLICA</v>
          </cell>
        </row>
        <row r="91">
          <cell r="A91" t="str">
            <v>8579</v>
          </cell>
          <cell r="B91" t="str">
            <v>ESPECIALIZACIÓN EN GERENCIA INTERNACIONAL</v>
          </cell>
          <cell r="C91" t="str">
            <v>NO APLICA</v>
          </cell>
        </row>
        <row r="92">
          <cell r="A92" t="str">
            <v>54342</v>
          </cell>
          <cell r="B92" t="str">
            <v>ESPECIALIZACIÓN EN GERIATRÍA</v>
          </cell>
          <cell r="C92" t="str">
            <v>SI</v>
          </cell>
        </row>
        <row r="93">
          <cell r="A93" t="str">
            <v>108835</v>
          </cell>
          <cell r="B93" t="str">
            <v>ESPECIALIZACION EN GESTIÓN DE EMPRESAS DE LA ECONOMÍA SOCIAL Y SOLIDARIA</v>
          </cell>
          <cell r="C93" t="str">
            <v>NO APLICA</v>
          </cell>
        </row>
        <row r="94">
          <cell r="A94" t="str">
            <v>972</v>
          </cell>
          <cell r="B94" t="str">
            <v>ESPECIALIZACIÓN EN GINECOLOGÍA Y OBSTETRICIA</v>
          </cell>
          <cell r="C94" t="str">
            <v>SI</v>
          </cell>
        </row>
        <row r="95">
          <cell r="A95" t="str">
            <v>53060</v>
          </cell>
          <cell r="B95" t="str">
            <v>ESPECIALIZACIÓN EN GOBIERNO Y GESTIÓN PÚBLICA TERRITORIALES</v>
          </cell>
          <cell r="C95" t="str">
            <v>NO APLICA</v>
          </cell>
        </row>
        <row r="96">
          <cell r="A96" t="str">
            <v>105147</v>
          </cell>
          <cell r="B96" t="str">
            <v>ESPECIALIZACIÓN EN GOBIERNO Y GESTIÓN PÚBLICA TERRITORIALES</v>
          </cell>
          <cell r="C96" t="str">
            <v>NO APLICA</v>
          </cell>
        </row>
        <row r="97">
          <cell r="A97" t="str">
            <v>3095</v>
          </cell>
          <cell r="B97" t="str">
            <v>ESPECIALIZACIÓN EN HEMATOLOGÍA EN EL LABORATORIO CLÍNICO Y MANEJO DEL BANCO DE SANGRE</v>
          </cell>
          <cell r="C97" t="str">
            <v>SI</v>
          </cell>
        </row>
        <row r="98">
          <cell r="A98" t="str">
            <v>109110</v>
          </cell>
          <cell r="B98" t="str">
            <v>ESPECIALIZACIÓN EN INFECTOLOGÍA</v>
          </cell>
          <cell r="C98" t="str">
            <v>SI</v>
          </cell>
        </row>
        <row r="99">
          <cell r="A99" t="str">
            <v>51608</v>
          </cell>
          <cell r="B99" t="str">
            <v>ESPECIALIZACIÓN EN INGENIERÍA DE OPERACIONES EN MANUFACTURA Y SERVICIOS</v>
          </cell>
          <cell r="C99" t="str">
            <v>NO APLICA</v>
          </cell>
        </row>
        <row r="100">
          <cell r="A100" t="str">
            <v>109209</v>
          </cell>
          <cell r="B100" t="str">
            <v>ESPECIALIZACIÓN EN LIDERAZGO PARA LA GESTIÓN SOCIAL</v>
          </cell>
          <cell r="C100" t="str">
            <v>NO APLICA</v>
          </cell>
        </row>
        <row r="101">
          <cell r="A101" t="str">
            <v>106029</v>
          </cell>
          <cell r="B101" t="str">
            <v>ESPECIALIZACIÓN EN LITERATURA INFANTIL Y JUVENIL</v>
          </cell>
          <cell r="C101" t="str">
            <v>NO APLICA</v>
          </cell>
        </row>
        <row r="102">
          <cell r="A102" t="str">
            <v>107710</v>
          </cell>
          <cell r="B102" t="str">
            <v>ESPECIALIZACIÓN EN MARKETING ESTRATÉGICO</v>
          </cell>
          <cell r="C102" t="str">
            <v>NO APLICA</v>
          </cell>
        </row>
        <row r="103">
          <cell r="A103" t="str">
            <v>54341</v>
          </cell>
          <cell r="B103" t="str">
            <v>ESPECIALIZACIÓN EN MEDICINA CRÍTICA Y CUIDADO INTENSIVO</v>
          </cell>
          <cell r="C103" t="str">
            <v>SI</v>
          </cell>
        </row>
        <row r="104">
          <cell r="A104" t="str">
            <v>54349</v>
          </cell>
          <cell r="B104" t="str">
            <v>ESPECIALIZACIÓN EN MEDICINA DE URGENCIAS</v>
          </cell>
          <cell r="C104" t="str">
            <v>SI</v>
          </cell>
        </row>
        <row r="105">
          <cell r="A105" t="str">
            <v>4166</v>
          </cell>
          <cell r="B105" t="str">
            <v>ESPECIALIZACIÓN EN MEDICINA FAMILIAR</v>
          </cell>
          <cell r="C105" t="str">
            <v>SI</v>
          </cell>
        </row>
        <row r="106">
          <cell r="A106" t="str">
            <v>973</v>
          </cell>
          <cell r="B106" t="str">
            <v>ESPECIALIZACIÓN EN MEDICINA INTERNA</v>
          </cell>
          <cell r="C106" t="str">
            <v>SI</v>
          </cell>
        </row>
        <row r="107">
          <cell r="A107" t="str">
            <v>5322</v>
          </cell>
          <cell r="B107" t="str">
            <v>ESPECIALIZACIÓN EN MICROBIOLOGÍA MEDICA</v>
          </cell>
          <cell r="C107" t="str">
            <v>SI</v>
          </cell>
        </row>
        <row r="108">
          <cell r="A108" t="str">
            <v>974</v>
          </cell>
          <cell r="B108" t="str">
            <v>ESPECIALIZACIÓN EN NEFROLOGÍA</v>
          </cell>
          <cell r="C108" t="str">
            <v>SI</v>
          </cell>
        </row>
        <row r="109">
          <cell r="A109" t="str">
            <v>106403</v>
          </cell>
          <cell r="B109" t="str">
            <v>ESPECIALIZACIÓN EN NEONATOLOGÍA</v>
          </cell>
          <cell r="C109" t="str">
            <v>SI</v>
          </cell>
        </row>
        <row r="110">
          <cell r="A110" t="str">
            <v>975</v>
          </cell>
          <cell r="B110" t="str">
            <v>ESPECIALIZACIÓN EN NEUMOLOGÍA</v>
          </cell>
          <cell r="C110" t="str">
            <v>SI</v>
          </cell>
        </row>
        <row r="111">
          <cell r="A111" t="str">
            <v>976</v>
          </cell>
          <cell r="B111" t="str">
            <v>ESPECIALIZACIÓN EN NEUROCIRUGÍA</v>
          </cell>
          <cell r="C111" t="str">
            <v>SI</v>
          </cell>
        </row>
        <row r="112">
          <cell r="A112" t="str">
            <v>977</v>
          </cell>
          <cell r="B112" t="str">
            <v>ESPECIALIZACIÓN EN NEUROLOGÍA</v>
          </cell>
          <cell r="C112" t="str">
            <v>SI</v>
          </cell>
        </row>
        <row r="113">
          <cell r="A113" t="str">
            <v>978</v>
          </cell>
          <cell r="B113" t="str">
            <v>ESPECIALIZACIÓN EN ODONTOPEDIATRIA</v>
          </cell>
          <cell r="C113" t="str">
            <v>SI</v>
          </cell>
        </row>
        <row r="114">
          <cell r="A114" t="str">
            <v>979</v>
          </cell>
          <cell r="B114" t="str">
            <v>ESPECIALIZACIÓN EN OFTALMOLOGÍA</v>
          </cell>
          <cell r="C114" t="str">
            <v>SI</v>
          </cell>
        </row>
        <row r="115">
          <cell r="A115" t="str">
            <v>2840</v>
          </cell>
          <cell r="B115" t="str">
            <v>ESPECIALIZACIÓN EN OPINIÓN PUBLICA Y MERCADEO POLÍTICO</v>
          </cell>
          <cell r="C115" t="str">
            <v>NO APLICA</v>
          </cell>
        </row>
        <row r="116">
          <cell r="A116" t="str">
            <v>980</v>
          </cell>
          <cell r="B116" t="str">
            <v>ESPECIALIZACIÓN EN ORTODONCIA</v>
          </cell>
          <cell r="C116" t="str">
            <v>SI</v>
          </cell>
        </row>
        <row r="117">
          <cell r="A117" t="str">
            <v>981</v>
          </cell>
          <cell r="B117" t="str">
            <v>ESPECIALIZACIÓN EN ORTOPEDIA Y TRAUMATOLOGÍA</v>
          </cell>
          <cell r="C117" t="str">
            <v>SI</v>
          </cell>
        </row>
        <row r="118">
          <cell r="A118" t="str">
            <v>109109</v>
          </cell>
          <cell r="B118" t="str">
            <v>ESPECIALIZACIÓN EN ORTOPEDIA Y TRAUMATOLOGÍA PEDIÁTRICA</v>
          </cell>
          <cell r="C118" t="str">
            <v>SI</v>
          </cell>
        </row>
        <row r="119">
          <cell r="A119" t="str">
            <v>982</v>
          </cell>
          <cell r="B119" t="str">
            <v>ESPECIALIZACIÓN EN OTORRINOLARINGOLOGÍA</v>
          </cell>
          <cell r="C119" t="str">
            <v>SI</v>
          </cell>
        </row>
        <row r="120">
          <cell r="A120" t="str">
            <v>983</v>
          </cell>
          <cell r="B120" t="str">
            <v>ESPECIALIZACIÓN EN PATOLOGÍA</v>
          </cell>
          <cell r="C120" t="str">
            <v>SI</v>
          </cell>
        </row>
        <row r="121">
          <cell r="A121" t="str">
            <v>999</v>
          </cell>
          <cell r="B121" t="str">
            <v>ESPECIALIZACIÓN EN PATOLOGÍA Y CIRUGÍA BUCAL</v>
          </cell>
          <cell r="C121" t="str">
            <v>SI</v>
          </cell>
        </row>
        <row r="122">
          <cell r="A122" t="str">
            <v>984</v>
          </cell>
          <cell r="B122" t="str">
            <v>ESPECIALIZACIÓN EN PEDIATRÍA</v>
          </cell>
          <cell r="C122" t="str">
            <v>SI</v>
          </cell>
        </row>
        <row r="123">
          <cell r="A123" t="str">
            <v>985</v>
          </cell>
          <cell r="B123" t="str">
            <v>ESPECIALIZACIÓN EN PERIODONCIA</v>
          </cell>
          <cell r="C123" t="str">
            <v>SI</v>
          </cell>
        </row>
        <row r="124">
          <cell r="A124" t="str">
            <v>16021</v>
          </cell>
          <cell r="B124" t="str">
            <v>ESPECIALIZACIÓN EN PSIQUIATRÍA DE ENLACE</v>
          </cell>
          <cell r="C124" t="str">
            <v>SI</v>
          </cell>
        </row>
        <row r="125">
          <cell r="A125" t="str">
            <v>16019</v>
          </cell>
          <cell r="B125" t="str">
            <v>ESPECIALIZACIÓN EN PSIQUIATRÍA DE NIÑOS Y ADOLESCENTES</v>
          </cell>
          <cell r="C125" t="str">
            <v>SI</v>
          </cell>
        </row>
        <row r="126">
          <cell r="A126" t="str">
            <v>990</v>
          </cell>
          <cell r="B126" t="str">
            <v>ESPECIALIZACIÓN EN PSIQUIATRÍA GENERAL</v>
          </cell>
          <cell r="C126" t="str">
            <v>SI</v>
          </cell>
        </row>
        <row r="127">
          <cell r="A127" t="str">
            <v>986</v>
          </cell>
          <cell r="B127" t="str">
            <v>ESPECIALIZACIÓN EN RADIOLOGÍA</v>
          </cell>
          <cell r="C127" t="str">
            <v>SI</v>
          </cell>
        </row>
        <row r="128">
          <cell r="A128" t="str">
            <v>991</v>
          </cell>
          <cell r="B128" t="str">
            <v>ESPECIALIZACIÓN EN REHABILITACIÓN ORAL</v>
          </cell>
          <cell r="C128" t="str">
            <v>SI</v>
          </cell>
        </row>
        <row r="129">
          <cell r="A129" t="str">
            <v>3268</v>
          </cell>
          <cell r="B129" t="str">
            <v>ESPECIALIZACIÓN EN RESOLUCIÓN DE CONFLICTOS</v>
          </cell>
          <cell r="C129" t="str">
            <v>NO APLICA</v>
          </cell>
        </row>
        <row r="130">
          <cell r="A130" t="str">
            <v>10940</v>
          </cell>
          <cell r="B130" t="str">
            <v>ESPECIALIZACIÓN EN REVISORÍA FISCAL</v>
          </cell>
          <cell r="C130" t="str">
            <v>NO APLICA</v>
          </cell>
        </row>
        <row r="131">
          <cell r="A131" t="str">
            <v>107711</v>
          </cell>
          <cell r="B131" t="str">
            <v>ESPECIALIZACIÓN EN SEGURIDAD Y SALUD EN EL TRABAJO</v>
          </cell>
          <cell r="C131" t="str">
            <v>NO APLICA</v>
          </cell>
        </row>
        <row r="132">
          <cell r="A132" t="str">
            <v>1009</v>
          </cell>
          <cell r="B132" t="str">
            <v>ESPECIALIZACIÓN EN SISTEMAS GERENCIALES DE INGENIERÍA</v>
          </cell>
          <cell r="C132" t="str">
            <v>NO APLICA</v>
          </cell>
        </row>
        <row r="133">
          <cell r="A133" t="str">
            <v>7576</v>
          </cell>
          <cell r="B133" t="str">
            <v>ESPECIALIZACIÓN EN TECNOLOGÍA DE LA CONSTRUCCIÓN EN EDIFICACIONES</v>
          </cell>
          <cell r="C133" t="str">
            <v>NO APLICA</v>
          </cell>
        </row>
        <row r="134">
          <cell r="A134" t="str">
            <v>2688</v>
          </cell>
          <cell r="B134" t="str">
            <v>ESPECIALIZACIÓN EN TELEVISIÓN</v>
          </cell>
          <cell r="C134" t="str">
            <v>NO APLICA</v>
          </cell>
        </row>
        <row r="135">
          <cell r="A135" t="str">
            <v>988</v>
          </cell>
          <cell r="B135" t="str">
            <v>ESPECIALIZACIÓN EN UROLOGÍA</v>
          </cell>
          <cell r="C135" t="str">
            <v>SI</v>
          </cell>
        </row>
        <row r="136">
          <cell r="A136" t="str">
            <v>958</v>
          </cell>
          <cell r="B136" t="str">
            <v>ESTUDIOS LITERARIOS</v>
          </cell>
          <cell r="C136" t="str">
            <v>NO APLICA</v>
          </cell>
        </row>
        <row r="137">
          <cell r="A137" t="str">
            <v>926</v>
          </cell>
          <cell r="B137" t="str">
            <v>ESTUDIOS MUSICALES</v>
          </cell>
          <cell r="C137" t="str">
            <v>NO APLICA</v>
          </cell>
        </row>
        <row r="138">
          <cell r="A138" t="str">
            <v>955</v>
          </cell>
          <cell r="B138" t="str">
            <v>FILOSOFÍA</v>
          </cell>
          <cell r="C138" t="str">
            <v>NO APLICA</v>
          </cell>
        </row>
        <row r="139">
          <cell r="A139" t="str">
            <v>108841</v>
          </cell>
          <cell r="B139" t="str">
            <v>FINANZAS</v>
          </cell>
          <cell r="C139" t="str">
            <v>NO APLICA</v>
          </cell>
        </row>
        <row r="140">
          <cell r="A140" t="str">
            <v>956</v>
          </cell>
          <cell r="B140" t="str">
            <v>HISTORIA</v>
          </cell>
          <cell r="C140" t="str">
            <v>NO APLICA</v>
          </cell>
        </row>
        <row r="141">
          <cell r="A141" t="str">
            <v>959</v>
          </cell>
          <cell r="B141" t="str">
            <v>INGENIERÍA CIVIL</v>
          </cell>
          <cell r="C141" t="str">
            <v>NO APLICA</v>
          </cell>
        </row>
        <row r="142">
          <cell r="A142" t="str">
            <v>3079</v>
          </cell>
          <cell r="B142" t="str">
            <v>INGENIERÍA DE SISTEMAS</v>
          </cell>
          <cell r="C142" t="str">
            <v>NO APLICA</v>
          </cell>
        </row>
        <row r="143">
          <cell r="A143" t="str">
            <v>960</v>
          </cell>
          <cell r="B143" t="str">
            <v>INGENIERÍA ELECTRÓNICA</v>
          </cell>
          <cell r="C143" t="str">
            <v>NO APLICA</v>
          </cell>
        </row>
        <row r="144">
          <cell r="A144" t="str">
            <v>108910</v>
          </cell>
          <cell r="B144" t="str">
            <v>INGENIERÍA EN REDES Y TELECOMUNICACIONES</v>
          </cell>
          <cell r="C144" t="str">
            <v>NO APLICA</v>
          </cell>
        </row>
        <row r="145">
          <cell r="A145" t="str">
            <v>961</v>
          </cell>
          <cell r="B145" t="str">
            <v>INGENIERÍA INDUSTRIAL</v>
          </cell>
          <cell r="C145" t="str">
            <v>NO APLICA</v>
          </cell>
        </row>
        <row r="146">
          <cell r="A146" t="str">
            <v>108952</v>
          </cell>
          <cell r="B146" t="str">
            <v>INGENIERÍA MECÁNICA</v>
          </cell>
          <cell r="C146" t="str">
            <v>NO APLICA</v>
          </cell>
        </row>
        <row r="147">
          <cell r="A147" t="str">
            <v>109228</v>
          </cell>
          <cell r="B147" t="str">
            <v>INGENIERÍA MECATRÓNICA</v>
          </cell>
          <cell r="C147" t="str">
            <v>NO APLICA</v>
          </cell>
        </row>
        <row r="148">
          <cell r="A148" t="str">
            <v>PROGRAMA ECLESIÁSTICO 6</v>
          </cell>
          <cell r="B148" t="str">
            <v>LICENCIATURA ECLESIÁSTICA EN DERECHO CANÓNICO</v>
          </cell>
          <cell r="C148" t="str">
            <v>NO APLICA</v>
          </cell>
        </row>
        <row r="149">
          <cell r="A149" t="str">
            <v>PROGRAMA ECLESIÁSTICO 7</v>
          </cell>
          <cell r="B149" t="str">
            <v>LICENCIATURA ECLESIÁSTICA EN FILOSOFÍA</v>
          </cell>
          <cell r="C149" t="str">
            <v>NO APLICA</v>
          </cell>
        </row>
        <row r="150">
          <cell r="A150" t="str">
            <v>PROGRAMA ECLESIÁSTICO 8</v>
          </cell>
          <cell r="B150" t="str">
            <v>LICENCIATURA ECLESIÁSTICA EN TEOLOGÍA</v>
          </cell>
          <cell r="C150" t="str">
            <v>NO APLICA</v>
          </cell>
        </row>
        <row r="151">
          <cell r="A151" t="str">
            <v>108729</v>
          </cell>
          <cell r="B151" t="str">
            <v>LICENCIATURA EN CIENCIAS NATURALES Y EDUCACIÓN AMBIENTAL</v>
          </cell>
          <cell r="C151" t="str">
            <v>NO APLICA</v>
          </cell>
        </row>
        <row r="152">
          <cell r="A152" t="str">
            <v>108244</v>
          </cell>
          <cell r="B152" t="str">
            <v>LICENCIATURA EN EDUCACIÓN FÍSICA</v>
          </cell>
          <cell r="C152" t="str">
            <v>NO APLICA</v>
          </cell>
        </row>
        <row r="153">
          <cell r="A153" t="str">
            <v>106094</v>
          </cell>
          <cell r="B153" t="str">
            <v>LICENCIATURA EN EDUCACIÓN INFANTIL</v>
          </cell>
          <cell r="C153" t="str">
            <v>NO APLICA</v>
          </cell>
        </row>
        <row r="154">
          <cell r="A154" t="str">
            <v>933</v>
          </cell>
          <cell r="B154" t="str">
            <v>LICENCIATURA EN FILOSOFÍA</v>
          </cell>
          <cell r="C154" t="str">
            <v>NO APLICA</v>
          </cell>
        </row>
        <row r="155">
          <cell r="A155" t="str">
            <v>106061</v>
          </cell>
          <cell r="B155" t="str">
            <v>LICENCIATURA EN LENGUAS MODERNAS CON ÉNFASIS EN INGLÉS Y FRANCÉS</v>
          </cell>
          <cell r="C155" t="str">
            <v>NO APLICA</v>
          </cell>
        </row>
        <row r="156">
          <cell r="A156" t="str">
            <v>108869</v>
          </cell>
          <cell r="B156" t="str">
            <v>LICENCIATURA EN LITERATURA Y LENGUA CASTELLANA</v>
          </cell>
          <cell r="C156" t="str">
            <v>NO APLICA</v>
          </cell>
        </row>
        <row r="157">
          <cell r="A157" t="str">
            <v>937</v>
          </cell>
          <cell r="B157" t="str">
            <v>LICENCIATURA EN TEOLOGÍA</v>
          </cell>
          <cell r="C157" t="str">
            <v>NO APLICA</v>
          </cell>
        </row>
        <row r="158">
          <cell r="A158" t="str">
            <v>105412</v>
          </cell>
          <cell r="B158" t="str">
            <v>LICENCIATURA EN TEOLOGÍA</v>
          </cell>
          <cell r="C158" t="str">
            <v>NO APLICA</v>
          </cell>
        </row>
        <row r="159">
          <cell r="A159" t="str">
            <v>106457</v>
          </cell>
          <cell r="B159" t="str">
            <v>MAESTRÍA EN ABORDAJES PSICOSOCIALES PARA LA CONSTRUCCIÓN DE CULTURAS DE PAZ</v>
          </cell>
          <cell r="C159" t="str">
            <v>NO APLICA</v>
          </cell>
        </row>
        <row r="160">
          <cell r="A160" t="str">
            <v>101893</v>
          </cell>
          <cell r="B160" t="str">
            <v>MAESTRÍA EN ADMINISTRACIÓN</v>
          </cell>
          <cell r="C160" t="str">
            <v>NO APLICA</v>
          </cell>
        </row>
        <row r="161">
          <cell r="A161" t="str">
            <v>101893</v>
          </cell>
          <cell r="B161" t="str">
            <v>MAESTRÍA EN ADMINISTRACIÓN - MODALIDAD EJECUTIVA</v>
          </cell>
          <cell r="C161" t="str">
            <v>NO APLICA</v>
          </cell>
        </row>
        <row r="162">
          <cell r="A162" t="str">
            <v>53795</v>
          </cell>
          <cell r="B162" t="str">
            <v>MAESTRÍA EN ADMINISTRACIÓN DE SALUD</v>
          </cell>
          <cell r="C162" t="str">
            <v>NO APLICA</v>
          </cell>
        </row>
        <row r="163">
          <cell r="A163" t="str">
            <v>105238</v>
          </cell>
          <cell r="B163" t="str">
            <v>MAESTRÍA EN ANALÍTICA PARA LA INTELIGENCIA DE NEGOCIOS</v>
          </cell>
          <cell r="C163" t="str">
            <v>NO APLICA</v>
          </cell>
        </row>
        <row r="164">
          <cell r="A164" t="str">
            <v>104366</v>
          </cell>
          <cell r="B164" t="str">
            <v>MAESTRÍA EN ARCHIVÍSTICA HISTÓRICA Y MEMORIA</v>
          </cell>
          <cell r="C164" t="str">
            <v>NO APLICA</v>
          </cell>
        </row>
        <row r="165">
          <cell r="A165" t="str">
            <v>109137</v>
          </cell>
          <cell r="B165" t="str">
            <v>MAESTRÍA EN ARCHIVÍSTICA HISTÓRICA Y MEMORIA</v>
          </cell>
          <cell r="C165" t="str">
            <v>NO APLICA</v>
          </cell>
        </row>
        <row r="166">
          <cell r="A166" t="str">
            <v>109197</v>
          </cell>
          <cell r="B166" t="str">
            <v>MAESTRÍA EN BANCA Y FINANZAS</v>
          </cell>
          <cell r="C166" t="str">
            <v>NO APLICA</v>
          </cell>
        </row>
        <row r="167">
          <cell r="A167" t="str">
            <v>104789</v>
          </cell>
          <cell r="B167" t="str">
            <v>MAESTRÍA EN BIOESTADÍSTICA</v>
          </cell>
          <cell r="C167" t="str">
            <v>NO APLICA</v>
          </cell>
        </row>
        <row r="168">
          <cell r="A168" t="str">
            <v>53581</v>
          </cell>
          <cell r="B168" t="str">
            <v>MAESTRÍA EN BIOÉTICA</v>
          </cell>
          <cell r="C168" t="str">
            <v>NO APLICA</v>
          </cell>
        </row>
        <row r="169">
          <cell r="A169" t="str">
            <v>105265</v>
          </cell>
          <cell r="B169" t="str">
            <v>MAESTRÍA EN BIOINGENIERÍA</v>
          </cell>
          <cell r="C169" t="str">
            <v>NO APLICA</v>
          </cell>
        </row>
        <row r="170">
          <cell r="A170" t="str">
            <v>19769</v>
          </cell>
          <cell r="B170" t="str">
            <v>MAESTRÍA EN CIENCIAS BIOLÓGICAS</v>
          </cell>
          <cell r="C170" t="str">
            <v>NO APLICA</v>
          </cell>
        </row>
        <row r="171">
          <cell r="A171" t="str">
            <v>108755</v>
          </cell>
          <cell r="B171" t="str">
            <v>MAESTRÍA EN CIENCIAS DEL LABORATORIO CLÍNICO</v>
          </cell>
          <cell r="C171" t="str">
            <v>SI</v>
          </cell>
        </row>
        <row r="172">
          <cell r="A172" t="str">
            <v>1019</v>
          </cell>
          <cell r="B172" t="str">
            <v>MAESTRÍA EN COMUNICACIÓN</v>
          </cell>
          <cell r="C172" t="str">
            <v>NO APLICA</v>
          </cell>
        </row>
        <row r="173">
          <cell r="A173" t="str">
            <v>90826</v>
          </cell>
          <cell r="B173" t="str">
            <v>MAESTRÍA EN CONSERVACIÓN Y USO DE BIODIVERSIDAD</v>
          </cell>
          <cell r="C173" t="str">
            <v>NO APLICA</v>
          </cell>
        </row>
        <row r="174">
          <cell r="A174" t="str">
            <v>104901</v>
          </cell>
          <cell r="B174" t="str">
            <v>MAESTRÍA EN CREACIÓN AUDIOVISUAL</v>
          </cell>
          <cell r="C174" t="str">
            <v>NO APLICA</v>
          </cell>
        </row>
        <row r="175">
          <cell r="A175" t="str">
            <v>104847</v>
          </cell>
          <cell r="B175" t="str">
            <v>MAESTRÍA EN CUIDADO DE ENFERMERÍA AL ADULTO MAYOR</v>
          </cell>
          <cell r="C175" t="str">
            <v>SI</v>
          </cell>
        </row>
        <row r="176">
          <cell r="A176" t="str">
            <v>104971</v>
          </cell>
          <cell r="B176" t="str">
            <v>MAESTRÍA EN DERECHO ADMINISTRATIVO</v>
          </cell>
          <cell r="C176" t="str">
            <v>NO APLICA</v>
          </cell>
        </row>
        <row r="177">
          <cell r="A177" t="str">
            <v>1021</v>
          </cell>
          <cell r="B177" t="str">
            <v>MAESTRÍA EN DERECHO CANÓNICO</v>
          </cell>
          <cell r="C177" t="str">
            <v>NO APLICA</v>
          </cell>
        </row>
        <row r="178">
          <cell r="A178" t="str">
            <v>104844</v>
          </cell>
          <cell r="B178" t="str">
            <v>MAESTRÍA EN DERECHO CONSTITUCIONAL</v>
          </cell>
          <cell r="C178" t="str">
            <v>NO APLICA</v>
          </cell>
        </row>
        <row r="179">
          <cell r="A179" t="str">
            <v>1023</v>
          </cell>
          <cell r="B179" t="str">
            <v>MAESTRÍA EN DERECHO DE SEGUROS</v>
          </cell>
          <cell r="C179" t="str">
            <v>NO APLICA</v>
          </cell>
        </row>
        <row r="180">
          <cell r="A180" t="str">
            <v>1026</v>
          </cell>
          <cell r="B180" t="str">
            <v>MAESTRÍA EN DERECHO ECONÓMICO</v>
          </cell>
          <cell r="C180" t="str">
            <v>NO APLICA</v>
          </cell>
        </row>
        <row r="181">
          <cell r="A181" t="str">
            <v>107006</v>
          </cell>
          <cell r="B181" t="str">
            <v>MAESTRÍA EN DERECHO LABORAL Y DE LA SEGURIDAD SOCIAL</v>
          </cell>
          <cell r="C181" t="str">
            <v>NO APLICA</v>
          </cell>
        </row>
        <row r="182">
          <cell r="A182" t="str">
            <v>1010</v>
          </cell>
          <cell r="B182" t="str">
            <v>MAESTRÍA EN DESARROLLO RURAL</v>
          </cell>
          <cell r="C182" t="str">
            <v>NO APLICA</v>
          </cell>
        </row>
        <row r="183">
          <cell r="A183" t="str">
            <v>104902</v>
          </cell>
          <cell r="B183" t="str">
            <v>MAESTRÍA EN DISEÑO PARA LA INNOVACIÓN DE PRODUCTOS Y SERVICIOS</v>
          </cell>
          <cell r="C183" t="str">
            <v>NO APLICA</v>
          </cell>
        </row>
        <row r="184">
          <cell r="A184" t="str">
            <v>1027</v>
          </cell>
          <cell r="B184" t="str">
            <v>MAESTRÍA EN ECONOMÍA</v>
          </cell>
          <cell r="C184" t="str">
            <v>NO APLICA</v>
          </cell>
        </row>
        <row r="185">
          <cell r="A185" t="str">
            <v>105377</v>
          </cell>
          <cell r="B185" t="str">
            <v>MAESTRÍA EN ECONOMÍA DE LA SALUD</v>
          </cell>
          <cell r="C185" t="str">
            <v>NO APLICA</v>
          </cell>
        </row>
        <row r="186">
          <cell r="A186" t="str">
            <v>1012</v>
          </cell>
          <cell r="B186" t="str">
            <v>MAESTRÍA EN EDUCACIÓN</v>
          </cell>
          <cell r="C186" t="str">
            <v>NO APLICA</v>
          </cell>
        </row>
        <row r="187">
          <cell r="A187" t="str">
            <v>108965</v>
          </cell>
          <cell r="B187" t="str">
            <v>MAESTRÍA EN EDUCACIÓN PARA LA INNOVACIÓN Y LAS CIUDADANÍAS</v>
          </cell>
          <cell r="C187" t="str">
            <v>NO APLICA</v>
          </cell>
        </row>
        <row r="188">
          <cell r="A188" t="str">
            <v>106971</v>
          </cell>
          <cell r="B188" t="str">
            <v>MAESTRÍA EN ENERGÍA Y SOSTENIBILIDAD</v>
          </cell>
          <cell r="C188" t="str">
            <v>NO APLICA</v>
          </cell>
        </row>
        <row r="189">
          <cell r="A189" t="str">
            <v>106402</v>
          </cell>
          <cell r="B189" t="str">
            <v>MAESTRÍA EN ENFERMERÍA EN CUIDADO CRÍTICO</v>
          </cell>
          <cell r="C189" t="str">
            <v>SI</v>
          </cell>
        </row>
        <row r="190">
          <cell r="A190" t="str">
            <v>106537</v>
          </cell>
          <cell r="B190" t="str">
            <v>MAESTRÍA EN ENFERMERÍA EN CUIDADO PALIATIVO</v>
          </cell>
          <cell r="C190" t="str">
            <v>SI</v>
          </cell>
        </row>
        <row r="191">
          <cell r="A191" t="str">
            <v>106354</v>
          </cell>
          <cell r="B191" t="str">
            <v>MAESTRÍA EN ENFERMERÍA ONCOLÓGICA</v>
          </cell>
          <cell r="C191" t="str">
            <v>SI</v>
          </cell>
        </row>
        <row r="192">
          <cell r="A192" t="str">
            <v>4808</v>
          </cell>
          <cell r="B192" t="str">
            <v>MAESTRÍA EN EPIDEMIOLOGÍA CLÍNICA</v>
          </cell>
          <cell r="C192" t="str">
            <v>NO APLICA</v>
          </cell>
        </row>
        <row r="193">
          <cell r="A193" t="str">
            <v>106592</v>
          </cell>
          <cell r="B193" t="str">
            <v>MAESTRÍA EN EPIDEMIOLOGÍA CLÍNICA</v>
          </cell>
          <cell r="C193" t="str">
            <v>NO APLICA</v>
          </cell>
        </row>
        <row r="194">
          <cell r="A194" t="str">
            <v>108829</v>
          </cell>
          <cell r="B194" t="str">
            <v>MAESTRÍA EN ESTRATEGIA, INNOVACIÓN Y COMPETITIVIDAD</v>
          </cell>
          <cell r="C194" t="str">
            <v>NO APLICA</v>
          </cell>
        </row>
        <row r="195">
          <cell r="A195" t="str">
            <v>106763</v>
          </cell>
          <cell r="B195" t="str">
            <v>MAESTRÍA EN ESTUDIOS AFROCOLOMBIANOS</v>
          </cell>
          <cell r="C195" t="str">
            <v>NO APLICA</v>
          </cell>
        </row>
        <row r="196">
          <cell r="A196" t="str">
            <v>107708</v>
          </cell>
          <cell r="B196" t="str">
            <v>MAESTRÍA EN ESTUDIOS AFROCOLOMBIANOS</v>
          </cell>
          <cell r="C196" t="str">
            <v>NO APLICA</v>
          </cell>
        </row>
        <row r="197">
          <cell r="A197" t="str">
            <v>105996</v>
          </cell>
          <cell r="B197" t="str">
            <v>MAESTRIA EN ESTUDIOS CONTEMPORÁNEOS DE AMÉRICA LATINA</v>
          </cell>
          <cell r="C197" t="str">
            <v>NO APLICA</v>
          </cell>
        </row>
        <row r="198">
          <cell r="A198" t="str">
            <v>109136</v>
          </cell>
          <cell r="B198" t="str">
            <v>MAESTRÍA EN ESTUDIOS CRÍTICOS DE LAS MIGRACIONES CONTEMPORÁNEAS</v>
          </cell>
          <cell r="C198" t="str">
            <v>NO APLICA</v>
          </cell>
        </row>
        <row r="199">
          <cell r="A199" t="str">
            <v>52666</v>
          </cell>
          <cell r="B199" t="str">
            <v>MAESTRÍA EN ESTUDIOS CULTURALES</v>
          </cell>
          <cell r="C199" t="str">
            <v>NO APLICA</v>
          </cell>
        </row>
        <row r="200">
          <cell r="A200" t="str">
            <v>107963</v>
          </cell>
          <cell r="B200" t="str">
            <v>MAESTRÍA EN ESTUDIOS CULTURALES LATINOAMERICANOS</v>
          </cell>
          <cell r="C200" t="str">
            <v>NO APLICA</v>
          </cell>
        </row>
        <row r="201">
          <cell r="A201" t="str">
            <v>104367</v>
          </cell>
          <cell r="B201" t="str">
            <v>MAESTRÍA EN ESTUDIOS DE PAZ Y RESOLUCIÓN DE CONFLICTOS</v>
          </cell>
          <cell r="C201" t="str">
            <v>NO APLICA</v>
          </cell>
        </row>
        <row r="202">
          <cell r="A202" t="str">
            <v>107713</v>
          </cell>
          <cell r="B202" t="str">
            <v>MAESTRÍA EN ESTUDIOS INTERNACIONALES</v>
          </cell>
          <cell r="C202" t="str">
            <v>NO APLICA</v>
          </cell>
        </row>
        <row r="203">
          <cell r="A203" t="str">
            <v>1020</v>
          </cell>
          <cell r="B203" t="str">
            <v>MAESTRÍA EN ESTUDIOS POLÍTICOS</v>
          </cell>
          <cell r="C203" t="str">
            <v>NO APLICA</v>
          </cell>
        </row>
        <row r="204">
          <cell r="A204" t="str">
            <v>1028</v>
          </cell>
          <cell r="B204" t="str">
            <v>MAESTRÍA EN FILOSOFÍA</v>
          </cell>
          <cell r="C204" t="str">
            <v>NO APLICA</v>
          </cell>
        </row>
        <row r="205">
          <cell r="A205" t="str">
            <v>101675</v>
          </cell>
          <cell r="B205" t="str">
            <v>MAESTRÍA EN FÍSICA MÉDICA</v>
          </cell>
          <cell r="C205" t="str">
            <v>NO APLICA</v>
          </cell>
        </row>
        <row r="206">
          <cell r="A206" t="str">
            <v>105375</v>
          </cell>
          <cell r="B206" t="str">
            <v>MAESTRÍA EN GERENCIA  DE LA RESPONSABILIDAD SOCIAL Y SOSTENIBILIDAD EMPRESARIAL</v>
          </cell>
          <cell r="C206" t="str">
            <v>NO APLICA</v>
          </cell>
        </row>
        <row r="207">
          <cell r="A207" t="str">
            <v>1036</v>
          </cell>
          <cell r="B207" t="str">
            <v>MAESTRÍA EN GESTIÓN AMBIENTAL</v>
          </cell>
          <cell r="C207" t="str">
            <v>NO APLICA</v>
          </cell>
        </row>
        <row r="208">
          <cell r="A208" t="str">
            <v>105251</v>
          </cell>
          <cell r="B208" t="str">
            <v>MAESTRÍA EN GOBIERNO DEL TERRITORIO Y GESTIÓN PÚBLICA</v>
          </cell>
          <cell r="C208" t="str">
            <v>NO APLICA</v>
          </cell>
        </row>
        <row r="209">
          <cell r="A209" t="str">
            <v>20045</v>
          </cell>
          <cell r="B209" t="str">
            <v>MAESTRÍA EN HIDROSISTEMAS</v>
          </cell>
          <cell r="C209" t="str">
            <v>NO APLICA</v>
          </cell>
        </row>
        <row r="210">
          <cell r="A210" t="str">
            <v>1018</v>
          </cell>
          <cell r="B210" t="str">
            <v>MAESTRÍA EN HISTORIA</v>
          </cell>
          <cell r="C210" t="str">
            <v>NO APLICA</v>
          </cell>
        </row>
        <row r="211">
          <cell r="A211" t="str">
            <v>52699</v>
          </cell>
          <cell r="B211" t="str">
            <v>MAESTRÍA EN INGENIERÍA CIVIL</v>
          </cell>
          <cell r="C211" t="str">
            <v>NO APLICA</v>
          </cell>
        </row>
        <row r="212">
          <cell r="A212" t="str">
            <v>54466</v>
          </cell>
          <cell r="B212" t="str">
            <v>MAESTRÍA EN INGENIERÍA DE SISTEMAS Y COMPUTACIÓN</v>
          </cell>
          <cell r="C212" t="str">
            <v>NO APLICA</v>
          </cell>
        </row>
        <row r="213">
          <cell r="A213" t="str">
            <v>108954</v>
          </cell>
          <cell r="B213" t="str">
            <v>MAESTRÍA EN INGENIERÍA DEL INTERNET DE LAS COSAS</v>
          </cell>
          <cell r="C213" t="str">
            <v>NO APLICA</v>
          </cell>
        </row>
        <row r="214">
          <cell r="A214" t="str">
            <v>9291</v>
          </cell>
          <cell r="B214" t="str">
            <v>MAESTRÍA EN INGENIERÍA ELECTRÓNICA</v>
          </cell>
          <cell r="C214" t="str">
            <v>NO APLICA</v>
          </cell>
        </row>
        <row r="215">
          <cell r="A215" t="str">
            <v>53642</v>
          </cell>
          <cell r="B215" t="str">
            <v>MAESTRÍA EN INGENIERÍA INDUSTRIAL</v>
          </cell>
          <cell r="C215" t="str">
            <v>NO APLICA</v>
          </cell>
        </row>
        <row r="216">
          <cell r="A216" t="str">
            <v>108908</v>
          </cell>
          <cell r="B216" t="str">
            <v>MAESTRÍA EN INTELIGENCIA ARTIFICIAL</v>
          </cell>
          <cell r="C216" t="str">
            <v>NO APLICA</v>
          </cell>
        </row>
        <row r="217">
          <cell r="A217" t="str">
            <v>101676</v>
          </cell>
          <cell r="B217" t="str">
            <v>MAESTRÍA EN LINGÜÍSTICA APLICADA DEL ESPAÑOL COMO LENGUA EXTRANJERA</v>
          </cell>
          <cell r="C217" t="str">
            <v>NO APLICA</v>
          </cell>
        </row>
        <row r="218">
          <cell r="A218" t="str">
            <v>1029</v>
          </cell>
          <cell r="B218" t="str">
            <v>MAESTRÍA EN LITERATURA</v>
          </cell>
          <cell r="C218" t="str">
            <v>NO APLICA</v>
          </cell>
        </row>
        <row r="219">
          <cell r="A219" t="str">
            <v>107410</v>
          </cell>
          <cell r="B219" t="str">
            <v>MAESTRÍA EN LOGÍSTICA Y TRANSPORTE</v>
          </cell>
          <cell r="C219" t="str">
            <v>NO APLICA</v>
          </cell>
        </row>
        <row r="220">
          <cell r="A220" t="str">
            <v>105864</v>
          </cell>
          <cell r="B220" t="str">
            <v>MAESTRÍA EN MATEMÁTICAS</v>
          </cell>
          <cell r="C220" t="str">
            <v>NO APLICA</v>
          </cell>
        </row>
        <row r="221">
          <cell r="A221" t="str">
            <v>101520</v>
          </cell>
          <cell r="B221" t="str">
            <v>MAESTRÍA EN MÚSICA</v>
          </cell>
          <cell r="C221" t="str">
            <v>NO APLICA</v>
          </cell>
        </row>
        <row r="222">
          <cell r="A222" t="str">
            <v>107222</v>
          </cell>
          <cell r="B222" t="str">
            <v>MAESTRÍA EN NIÑEZ, FAMILIA Y DESARROLLO EN CONTEXTOS</v>
          </cell>
          <cell r="C222" t="str">
            <v>NO APLICA</v>
          </cell>
        </row>
        <row r="223">
          <cell r="A223" t="str">
            <v>108476</v>
          </cell>
          <cell r="B223" t="str">
            <v>MAESTRÍA EN PAISAJES ARTIFICIALES</v>
          </cell>
          <cell r="C223" t="str">
            <v>NO APLICA</v>
          </cell>
        </row>
        <row r="224">
          <cell r="A224" t="str">
            <v>107961</v>
          </cell>
          <cell r="B224" t="str">
            <v>MAESTRÍA EN PERIODISMO CIENTÍFICO</v>
          </cell>
          <cell r="C224" t="str">
            <v>NO APLICA</v>
          </cell>
        </row>
        <row r="225">
          <cell r="A225" t="str">
            <v>1033</v>
          </cell>
          <cell r="B225" t="str">
            <v>MAESTRÍA EN PLANEACIÓN URBANA Y REGIONAL</v>
          </cell>
          <cell r="C225" t="str">
            <v>NO APLICA</v>
          </cell>
        </row>
        <row r="226">
          <cell r="A226" t="str">
            <v>17477</v>
          </cell>
          <cell r="B226" t="str">
            <v>MAESTRÍA EN POLÍTICA SOCIAL</v>
          </cell>
          <cell r="C226" t="str">
            <v>NO APLICA</v>
          </cell>
        </row>
        <row r="227">
          <cell r="A227" t="str">
            <v>53582</v>
          </cell>
          <cell r="B227" t="str">
            <v>MAESTRÍA EN PSICOLOGÍA CLÍNICA</v>
          </cell>
          <cell r="C227" t="str">
            <v>SI</v>
          </cell>
        </row>
        <row r="228">
          <cell r="A228" t="str">
            <v>107419</v>
          </cell>
          <cell r="B228" t="str">
            <v>MAESTRÍA EN RESTAURACIÓN ECOLÓGICA</v>
          </cell>
          <cell r="C228" t="str">
            <v>NO APLICA</v>
          </cell>
        </row>
        <row r="229">
          <cell r="A229" t="str">
            <v>91251</v>
          </cell>
          <cell r="B229" t="str">
            <v>MAESTRÍA EN SALUD PÚBLICA</v>
          </cell>
          <cell r="C229" t="str">
            <v>NO APLICA</v>
          </cell>
        </row>
        <row r="230">
          <cell r="A230" t="str">
            <v>108909</v>
          </cell>
          <cell r="B230" t="str">
            <v>MAESTRÍA EN SEGURIDAD DIGITAL</v>
          </cell>
          <cell r="C230" t="str">
            <v>NO APLICA</v>
          </cell>
        </row>
        <row r="231">
          <cell r="A231" t="str">
            <v>105875</v>
          </cell>
          <cell r="B231" t="str">
            <v>MAESTRÍA EN SEGURIDAD Y SALUD EN EL TRABAJO</v>
          </cell>
          <cell r="C231" t="str">
            <v>NO APLICA</v>
          </cell>
        </row>
        <row r="232">
          <cell r="A232" t="str">
            <v>1030</v>
          </cell>
          <cell r="B232" t="str">
            <v>MAESTRÍA EN TEOLOGÍA</v>
          </cell>
          <cell r="C232" t="str">
            <v>NO APLICA</v>
          </cell>
        </row>
        <row r="233">
          <cell r="A233" t="str">
            <v>965</v>
          </cell>
          <cell r="B233" t="str">
            <v>MATEMÁTICAS</v>
          </cell>
          <cell r="C233" t="str">
            <v>NO APLICA</v>
          </cell>
        </row>
        <row r="234">
          <cell r="A234" t="str">
            <v>55178</v>
          </cell>
          <cell r="B234" t="str">
            <v>MEDICINA</v>
          </cell>
          <cell r="C234" t="str">
            <v>SI</v>
          </cell>
        </row>
        <row r="235">
          <cell r="A235" t="str">
            <v>2830</v>
          </cell>
          <cell r="B235" t="str">
            <v>MICROBIOLOGÍA INDUSTRIAL</v>
          </cell>
          <cell r="C235" t="str">
            <v>NO APLICA</v>
          </cell>
        </row>
        <row r="236">
          <cell r="A236" t="str">
            <v>946</v>
          </cell>
          <cell r="B236" t="str">
            <v>NUTRICIÓN Y DIETÉTICA</v>
          </cell>
          <cell r="C236" t="str">
            <v>SI</v>
          </cell>
        </row>
        <row r="237">
          <cell r="A237" t="str">
            <v>947</v>
          </cell>
          <cell r="B237" t="str">
            <v>ODONTOLOGÍA</v>
          </cell>
          <cell r="C237" t="str">
            <v>SI</v>
          </cell>
        </row>
        <row r="238">
          <cell r="A238" t="str">
            <v>950</v>
          </cell>
          <cell r="B238" t="str">
            <v>PSICOLOGÍA</v>
          </cell>
          <cell r="C238" t="str">
            <v>NO APLICA</v>
          </cell>
        </row>
        <row r="239">
          <cell r="A239" t="str">
            <v>108657</v>
          </cell>
          <cell r="B239" t="str">
            <v>QUÍMICA FARMACÉUTICA</v>
          </cell>
          <cell r="C239" t="str">
            <v>SI</v>
          </cell>
        </row>
        <row r="240">
          <cell r="A240" t="str">
            <v>90844</v>
          </cell>
          <cell r="B240" t="str">
            <v>RELACIONES INTERNACIONALES</v>
          </cell>
          <cell r="C240" t="str">
            <v>NO APLICA</v>
          </cell>
        </row>
        <row r="241">
          <cell r="A241" t="str">
            <v>20611</v>
          </cell>
          <cell r="B241" t="str">
            <v>SOCIOLOGÍA</v>
          </cell>
          <cell r="C241" t="str">
            <v>NO APLICA</v>
          </cell>
        </row>
        <row r="242">
          <cell r="A242" t="str">
            <v>957</v>
          </cell>
          <cell r="B242" t="str">
            <v>TEOLOGÍA</v>
          </cell>
          <cell r="C242" t="str">
            <v>NO APLICA</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42"/>
  <sheetViews>
    <sheetView tabSelected="1" workbookViewId="0"/>
  </sheetViews>
  <sheetFormatPr baseColWidth="10" defaultColWidth="11.42578125" defaultRowHeight="15" x14ac:dyDescent="0.25"/>
  <cols>
    <col min="2" max="2" width="141.42578125" customWidth="1"/>
    <col min="3" max="63" width="11.42578125" style="134"/>
  </cols>
  <sheetData>
    <row r="1" spans="1:2" x14ac:dyDescent="0.25">
      <c r="A1" s="138"/>
      <c r="B1" s="138"/>
    </row>
    <row r="2" spans="1:2" x14ac:dyDescent="0.25">
      <c r="A2" s="138"/>
    </row>
    <row r="3" spans="1:2" x14ac:dyDescent="0.25">
      <c r="A3" s="138"/>
      <c r="B3" s="138"/>
    </row>
    <row r="4" spans="1:2" x14ac:dyDescent="0.25">
      <c r="A4" s="138"/>
      <c r="B4" s="138"/>
    </row>
    <row r="5" spans="1:2" x14ac:dyDescent="0.25">
      <c r="A5" s="138"/>
      <c r="B5" s="138"/>
    </row>
    <row r="6" spans="1:2" x14ac:dyDescent="0.25">
      <c r="A6" s="138"/>
      <c r="B6" s="138"/>
    </row>
    <row r="7" spans="1:2" x14ac:dyDescent="0.25">
      <c r="A7" s="138"/>
      <c r="B7" s="138"/>
    </row>
    <row r="8" spans="1:2" x14ac:dyDescent="0.25">
      <c r="A8" s="138"/>
      <c r="B8" s="138"/>
    </row>
    <row r="9" spans="1:2" x14ac:dyDescent="0.25">
      <c r="A9" s="138"/>
      <c r="B9" s="138"/>
    </row>
    <row r="10" spans="1:2" x14ac:dyDescent="0.25">
      <c r="A10" s="138"/>
      <c r="B10" s="138"/>
    </row>
    <row r="11" spans="1:2" x14ac:dyDescent="0.25">
      <c r="A11" s="138"/>
      <c r="B11" s="138"/>
    </row>
    <row r="12" spans="1:2" x14ac:dyDescent="0.25">
      <c r="A12" s="142"/>
      <c r="B12" s="141"/>
    </row>
    <row r="13" spans="1:2" x14ac:dyDescent="0.25">
      <c r="A13" s="138"/>
      <c r="B13" s="138"/>
    </row>
    <row r="14" spans="1:2" ht="19.5" x14ac:dyDescent="0.25">
      <c r="A14" s="138"/>
      <c r="B14" s="140" t="s">
        <v>588</v>
      </c>
    </row>
    <row r="15" spans="1:2" ht="18" x14ac:dyDescent="0.25">
      <c r="A15" s="138"/>
      <c r="B15" s="139" t="s">
        <v>587</v>
      </c>
    </row>
    <row r="16" spans="1:2" x14ac:dyDescent="0.25">
      <c r="A16" s="138"/>
      <c r="B16" s="138"/>
    </row>
    <row r="17" spans="1:2" x14ac:dyDescent="0.25">
      <c r="A17" s="138"/>
      <c r="B17" s="137" t="s">
        <v>586</v>
      </c>
    </row>
    <row r="18" spans="1:2" s="134" customFormat="1" x14ac:dyDescent="0.25">
      <c r="B18" s="58" t="s">
        <v>589</v>
      </c>
    </row>
    <row r="19" spans="1:2" s="134" customFormat="1" x14ac:dyDescent="0.25">
      <c r="B19" s="135" t="s">
        <v>590</v>
      </c>
    </row>
    <row r="20" spans="1:2" s="134" customFormat="1" hidden="1" x14ac:dyDescent="0.25">
      <c r="B20" s="136" t="s">
        <v>585</v>
      </c>
    </row>
    <row r="21" spans="1:2" s="134" customFormat="1" x14ac:dyDescent="0.25">
      <c r="B21" s="135" t="s">
        <v>591</v>
      </c>
    </row>
    <row r="22" spans="1:2" s="134" customFormat="1" x14ac:dyDescent="0.25">
      <c r="B22" s="135" t="s">
        <v>592</v>
      </c>
    </row>
    <row r="23" spans="1:2" s="134" customFormat="1" x14ac:dyDescent="0.25"/>
    <row r="24" spans="1:2" s="134" customFormat="1" x14ac:dyDescent="0.25"/>
    <row r="25" spans="1:2" s="134" customFormat="1" x14ac:dyDescent="0.25"/>
    <row r="26" spans="1:2" s="134" customFormat="1" x14ac:dyDescent="0.25"/>
    <row r="27" spans="1:2" s="134" customFormat="1" x14ac:dyDescent="0.25"/>
    <row r="28" spans="1:2" s="134" customFormat="1" x14ac:dyDescent="0.25"/>
    <row r="29" spans="1:2" s="134" customFormat="1" x14ac:dyDescent="0.25"/>
    <row r="30" spans="1:2" s="134" customFormat="1" x14ac:dyDescent="0.25"/>
    <row r="31" spans="1:2" s="134" customFormat="1" x14ac:dyDescent="0.25"/>
    <row r="32" spans="1:2" s="134" customFormat="1" x14ac:dyDescent="0.25"/>
    <row r="33" s="134" customFormat="1" x14ac:dyDescent="0.25"/>
    <row r="34" s="134" customFormat="1" x14ac:dyDescent="0.25"/>
    <row r="35" s="134" customFormat="1" x14ac:dyDescent="0.25"/>
    <row r="36" s="134" customFormat="1" x14ac:dyDescent="0.25"/>
    <row r="37" s="134" customFormat="1" x14ac:dyDescent="0.25"/>
    <row r="38" s="134" customFormat="1" x14ac:dyDescent="0.25"/>
    <row r="39" s="134" customFormat="1" x14ac:dyDescent="0.25"/>
    <row r="40" s="134" customFormat="1" x14ac:dyDescent="0.25"/>
    <row r="41" s="134" customFormat="1" x14ac:dyDescent="0.25"/>
    <row r="42" s="134" customFormat="1" x14ac:dyDescent="0.25"/>
    <row r="43" s="134" customFormat="1" x14ac:dyDescent="0.25"/>
    <row r="44" s="134" customFormat="1" x14ac:dyDescent="0.25"/>
    <row r="45" s="134" customFormat="1" x14ac:dyDescent="0.25"/>
    <row r="46" s="134" customFormat="1" x14ac:dyDescent="0.25"/>
    <row r="47" s="134" customFormat="1" x14ac:dyDescent="0.25"/>
    <row r="48" s="134" customFormat="1" x14ac:dyDescent="0.25"/>
    <row r="49" s="134" customFormat="1" x14ac:dyDescent="0.25"/>
    <row r="50" s="134" customFormat="1" x14ac:dyDescent="0.25"/>
    <row r="51" s="134" customFormat="1" x14ac:dyDescent="0.25"/>
    <row r="52" s="134" customFormat="1" x14ac:dyDescent="0.25"/>
    <row r="53" s="134" customFormat="1" x14ac:dyDescent="0.25"/>
    <row r="54" s="134" customFormat="1" x14ac:dyDescent="0.25"/>
    <row r="55" s="134" customFormat="1" x14ac:dyDescent="0.25"/>
    <row r="56" s="134" customFormat="1" x14ac:dyDescent="0.25"/>
    <row r="57" s="134" customFormat="1" x14ac:dyDescent="0.25"/>
    <row r="58" s="134" customFormat="1" x14ac:dyDescent="0.25"/>
    <row r="59" s="134" customFormat="1" x14ac:dyDescent="0.25"/>
    <row r="60" s="134" customFormat="1" x14ac:dyDescent="0.25"/>
    <row r="61" s="134" customFormat="1" x14ac:dyDescent="0.25"/>
    <row r="62" s="134" customFormat="1" x14ac:dyDescent="0.25"/>
    <row r="63" s="134" customFormat="1" x14ac:dyDescent="0.25"/>
    <row r="64" s="134" customFormat="1" x14ac:dyDescent="0.25"/>
    <row r="65" s="134" customFormat="1" x14ac:dyDescent="0.25"/>
    <row r="66" s="134" customFormat="1" x14ac:dyDescent="0.25"/>
    <row r="67" s="134" customFormat="1" x14ac:dyDescent="0.25"/>
    <row r="68" s="134" customFormat="1" x14ac:dyDescent="0.25"/>
    <row r="69" s="134" customFormat="1" x14ac:dyDescent="0.25"/>
    <row r="70" s="134" customFormat="1" x14ac:dyDescent="0.25"/>
    <row r="71" s="134" customFormat="1" x14ac:dyDescent="0.25"/>
    <row r="72" s="134" customFormat="1" x14ac:dyDescent="0.25"/>
    <row r="73" s="134" customFormat="1" x14ac:dyDescent="0.25"/>
    <row r="74" s="134" customFormat="1" x14ac:dyDescent="0.25"/>
    <row r="75" s="134" customFormat="1" x14ac:dyDescent="0.25"/>
    <row r="76" s="134" customFormat="1" x14ac:dyDescent="0.25"/>
    <row r="77" s="134" customFormat="1" x14ac:dyDescent="0.25"/>
    <row r="78" s="134" customFormat="1" x14ac:dyDescent="0.25"/>
    <row r="79" s="134" customFormat="1" x14ac:dyDescent="0.25"/>
    <row r="80" s="134" customFormat="1" x14ac:dyDescent="0.25"/>
    <row r="81" s="134" customFormat="1" x14ac:dyDescent="0.25"/>
    <row r="82" s="134" customFormat="1" x14ac:dyDescent="0.25"/>
    <row r="83" s="134" customFormat="1" x14ac:dyDescent="0.25"/>
    <row r="84" s="134" customFormat="1" x14ac:dyDescent="0.25"/>
    <row r="85" s="134" customFormat="1" x14ac:dyDescent="0.25"/>
    <row r="86" s="134" customFormat="1" x14ac:dyDescent="0.25"/>
    <row r="87" s="134" customFormat="1" x14ac:dyDescent="0.25"/>
    <row r="88" s="134" customFormat="1" x14ac:dyDescent="0.25"/>
    <row r="89" s="134" customFormat="1" x14ac:dyDescent="0.25"/>
    <row r="90" s="134" customFormat="1" x14ac:dyDescent="0.25"/>
    <row r="91" s="134" customFormat="1" x14ac:dyDescent="0.25"/>
    <row r="92" s="134" customFormat="1" x14ac:dyDescent="0.25"/>
    <row r="93" s="134" customFormat="1" x14ac:dyDescent="0.25"/>
    <row r="94" s="134" customFormat="1" x14ac:dyDescent="0.25"/>
    <row r="95" s="134" customFormat="1" x14ac:dyDescent="0.25"/>
    <row r="96" s="134" customFormat="1" x14ac:dyDescent="0.25"/>
    <row r="97" s="134" customFormat="1" x14ac:dyDescent="0.25"/>
    <row r="98" s="134" customFormat="1" x14ac:dyDescent="0.25"/>
    <row r="99" s="134" customFormat="1" x14ac:dyDescent="0.25"/>
    <row r="100" s="134" customFormat="1" x14ac:dyDescent="0.25"/>
    <row r="101" s="134" customFormat="1" x14ac:dyDescent="0.25"/>
    <row r="102" s="134" customFormat="1" x14ac:dyDescent="0.25"/>
    <row r="103" s="134" customFormat="1" x14ac:dyDescent="0.25"/>
    <row r="104" s="134" customFormat="1" x14ac:dyDescent="0.25"/>
    <row r="105" s="134" customFormat="1" x14ac:dyDescent="0.25"/>
    <row r="106" s="134" customFormat="1" x14ac:dyDescent="0.25"/>
    <row r="107" s="134" customFormat="1" x14ac:dyDescent="0.25"/>
    <row r="108" s="134" customFormat="1" x14ac:dyDescent="0.25"/>
    <row r="109" s="134" customFormat="1" x14ac:dyDescent="0.25"/>
    <row r="110" s="134" customFormat="1" x14ac:dyDescent="0.25"/>
    <row r="111" s="134" customFormat="1" x14ac:dyDescent="0.25"/>
    <row r="112" s="134" customFormat="1" x14ac:dyDescent="0.25"/>
    <row r="113" s="134" customFormat="1" x14ac:dyDescent="0.25"/>
    <row r="114" s="134" customFormat="1" x14ac:dyDescent="0.25"/>
    <row r="115" s="134" customFormat="1" x14ac:dyDescent="0.25"/>
    <row r="116" s="134" customFormat="1" x14ac:dyDescent="0.25"/>
    <row r="117" s="134" customFormat="1" x14ac:dyDescent="0.25"/>
    <row r="118" s="134" customFormat="1" x14ac:dyDescent="0.25"/>
    <row r="119" s="134" customFormat="1" x14ac:dyDescent="0.25"/>
    <row r="120" s="134" customFormat="1" x14ac:dyDescent="0.25"/>
    <row r="121" s="134" customFormat="1" x14ac:dyDescent="0.25"/>
    <row r="122" s="134" customFormat="1" x14ac:dyDescent="0.25"/>
    <row r="123" s="134" customFormat="1" x14ac:dyDescent="0.25"/>
    <row r="124" s="134" customFormat="1" x14ac:dyDescent="0.25"/>
    <row r="125" s="134" customFormat="1" x14ac:dyDescent="0.25"/>
    <row r="126" s="134" customFormat="1" x14ac:dyDescent="0.25"/>
    <row r="127" s="134" customFormat="1" x14ac:dyDescent="0.25"/>
    <row r="128" s="134" customFormat="1" x14ac:dyDescent="0.25"/>
    <row r="129" s="134" customFormat="1" x14ac:dyDescent="0.25"/>
    <row r="130" s="134" customFormat="1" x14ac:dyDescent="0.25"/>
    <row r="131" s="134" customFormat="1" x14ac:dyDescent="0.25"/>
    <row r="132" s="134" customFormat="1" x14ac:dyDescent="0.25"/>
    <row r="133" s="134" customFormat="1" x14ac:dyDescent="0.25"/>
    <row r="134" s="134" customFormat="1" x14ac:dyDescent="0.25"/>
    <row r="135" s="134" customFormat="1" x14ac:dyDescent="0.25"/>
    <row r="136" s="134" customFormat="1" x14ac:dyDescent="0.25"/>
    <row r="137" s="134" customFormat="1" x14ac:dyDescent="0.25"/>
    <row r="138" s="134" customFormat="1" x14ac:dyDescent="0.25"/>
    <row r="139" s="134" customFormat="1" x14ac:dyDescent="0.25"/>
    <row r="140" s="134" customFormat="1" x14ac:dyDescent="0.25"/>
    <row r="141" s="134" customFormat="1" x14ac:dyDescent="0.25"/>
    <row r="142" s="134" customFormat="1" x14ac:dyDescent="0.25"/>
    <row r="143" s="134" customFormat="1" x14ac:dyDescent="0.25"/>
    <row r="144"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row r="421" s="134" customFormat="1" x14ac:dyDescent="0.25"/>
    <row r="422" s="134" customFormat="1" x14ac:dyDescent="0.25"/>
    <row r="423" s="134" customFormat="1" x14ac:dyDescent="0.25"/>
    <row r="424" s="134" customFormat="1" x14ac:dyDescent="0.25"/>
    <row r="425" s="134" customFormat="1" x14ac:dyDescent="0.25"/>
    <row r="426" s="134" customFormat="1" x14ac:dyDescent="0.25"/>
    <row r="427" s="134" customFormat="1" x14ac:dyDescent="0.25"/>
    <row r="428" s="134" customFormat="1" x14ac:dyDescent="0.25"/>
    <row r="429" s="134" customFormat="1" x14ac:dyDescent="0.25"/>
    <row r="430" s="134" customFormat="1" x14ac:dyDescent="0.25"/>
    <row r="431" s="134" customFormat="1" x14ac:dyDescent="0.25"/>
    <row r="432" s="134" customFormat="1" x14ac:dyDescent="0.25"/>
    <row r="433" s="134" customFormat="1" x14ac:dyDescent="0.25"/>
    <row r="434" s="134" customFormat="1" x14ac:dyDescent="0.25"/>
    <row r="435" s="134" customFormat="1" x14ac:dyDescent="0.25"/>
    <row r="436" s="134" customFormat="1" x14ac:dyDescent="0.25"/>
    <row r="437" s="134" customFormat="1" x14ac:dyDescent="0.25"/>
    <row r="438" s="134" customFormat="1" x14ac:dyDescent="0.25"/>
    <row r="439" s="134" customFormat="1" x14ac:dyDescent="0.25"/>
    <row r="440" s="134" customFormat="1" x14ac:dyDescent="0.25"/>
    <row r="441" s="134" customFormat="1" x14ac:dyDescent="0.25"/>
    <row r="442" s="134" customFormat="1" x14ac:dyDescent="0.25"/>
  </sheetData>
  <hyperlinks>
    <hyperlink ref="B19" location="'Presupuesto 2022'!A1" display="Presupuesto aprobado 2022" xr:uid="{00000000-0004-0000-0000-000000000000}"/>
    <hyperlink ref="B21" location="'Valores matrículas 2021 - 2022'!A1" display="Valores de matrícula 2021-2022" xr:uid="{00000000-0004-0000-0000-000001000000}"/>
    <hyperlink ref="B22" location="'Otros conceptos 2021 - 2022'!A1" display="Otros conceptos 2021-2022" xr:uid="{00000000-0004-0000-0000-000002000000}"/>
    <hyperlink ref="B18" location="'Valor de los proyectos 2022'!A1" display="Valor de los proyectos 2022" xr:uid="{00000000-0004-0000-0000-000003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6"/>
  <sheetViews>
    <sheetView showGridLines="0" topLeftCell="A58" zoomScale="80" zoomScaleNormal="80" workbookViewId="0"/>
  </sheetViews>
  <sheetFormatPr baseColWidth="10" defaultRowHeight="15" x14ac:dyDescent="0.25"/>
  <cols>
    <col min="1" max="1" width="11.42578125" style="143"/>
    <col min="2" max="2" width="19.85546875" style="143" bestFit="1" customWidth="1"/>
    <col min="3" max="3" width="5.85546875" style="143" customWidth="1"/>
    <col min="4" max="4" width="67" style="145" customWidth="1"/>
    <col min="5" max="9" width="14.85546875" style="143" customWidth="1"/>
    <col min="10" max="10" width="15.28515625" style="143" customWidth="1"/>
    <col min="11" max="11" width="24.140625" style="144" customWidth="1"/>
    <col min="12" max="12" width="15" style="143" bestFit="1" customWidth="1"/>
    <col min="13" max="16384" width="11.42578125" style="143"/>
  </cols>
  <sheetData>
    <row r="1" spans="1:12" x14ac:dyDescent="0.25">
      <c r="A1" s="58" t="s">
        <v>663</v>
      </c>
    </row>
    <row r="2" spans="1:12" x14ac:dyDescent="0.25">
      <c r="C2" s="240" t="s">
        <v>43</v>
      </c>
      <c r="D2" s="240"/>
      <c r="E2" s="240"/>
      <c r="F2" s="240"/>
      <c r="G2" s="240"/>
      <c r="H2" s="240"/>
      <c r="I2" s="240"/>
      <c r="J2" s="240"/>
      <c r="K2" s="240"/>
    </row>
    <row r="3" spans="1:12" x14ac:dyDescent="0.25">
      <c r="C3" s="241" t="s">
        <v>44</v>
      </c>
      <c r="D3" s="241"/>
      <c r="E3" s="241"/>
      <c r="F3" s="241"/>
      <c r="G3" s="241"/>
      <c r="H3" s="241"/>
      <c r="I3" s="241"/>
      <c r="J3" s="241"/>
      <c r="K3" s="241"/>
    </row>
    <row r="4" spans="1:12" x14ac:dyDescent="0.25">
      <c r="C4" s="242" t="s">
        <v>320</v>
      </c>
      <c r="D4" s="242"/>
      <c r="E4" s="242"/>
      <c r="F4" s="242"/>
      <c r="G4" s="242"/>
      <c r="H4" s="242"/>
      <c r="I4" s="242"/>
      <c r="J4" s="242"/>
      <c r="K4" s="242"/>
    </row>
    <row r="5" spans="1:12" x14ac:dyDescent="0.25">
      <c r="C5" s="243" t="s">
        <v>244</v>
      </c>
      <c r="D5" s="243"/>
      <c r="E5" s="243"/>
      <c r="F5" s="243"/>
      <c r="G5" s="243"/>
      <c r="H5" s="243"/>
      <c r="I5" s="243"/>
      <c r="J5" s="243"/>
      <c r="K5" s="243"/>
    </row>
    <row r="6" spans="1:12" x14ac:dyDescent="0.25">
      <c r="C6" s="243"/>
      <c r="D6" s="243"/>
      <c r="E6" s="243"/>
      <c r="F6" s="243"/>
      <c r="G6" s="243"/>
      <c r="H6" s="243"/>
      <c r="I6" s="243"/>
      <c r="J6" s="243"/>
      <c r="K6" s="243"/>
    </row>
    <row r="7" spans="1:12" x14ac:dyDescent="0.25">
      <c r="C7" s="243"/>
      <c r="D7" s="243"/>
      <c r="E7" s="243"/>
      <c r="F7" s="243"/>
      <c r="G7" s="243"/>
      <c r="H7" s="243"/>
      <c r="I7" s="243"/>
      <c r="J7" s="243"/>
      <c r="K7" s="243"/>
    </row>
    <row r="8" spans="1:12" x14ac:dyDescent="0.25">
      <c r="C8" s="143" t="s">
        <v>302</v>
      </c>
    </row>
    <row r="9" spans="1:12" ht="15.75" thickBot="1" x14ac:dyDescent="0.3"/>
    <row r="10" spans="1:12" ht="15.75" thickBot="1" x14ac:dyDescent="0.3">
      <c r="G10" s="244" t="s">
        <v>9</v>
      </c>
      <c r="H10" s="245"/>
      <c r="I10" s="246"/>
      <c r="J10" s="247"/>
    </row>
    <row r="11" spans="1:12" ht="45.75" thickBot="1" x14ac:dyDescent="0.3">
      <c r="B11" s="184" t="s">
        <v>303</v>
      </c>
      <c r="C11" s="248" t="s">
        <v>246</v>
      </c>
      <c r="D11" s="249"/>
      <c r="E11" s="184" t="s">
        <v>7</v>
      </c>
      <c r="F11" s="180" t="s">
        <v>8</v>
      </c>
      <c r="G11" s="183" t="s">
        <v>317</v>
      </c>
      <c r="H11" s="182" t="s">
        <v>318</v>
      </c>
      <c r="I11" s="181" t="s">
        <v>319</v>
      </c>
      <c r="J11" s="181" t="s">
        <v>316</v>
      </c>
      <c r="K11" s="180" t="s">
        <v>662</v>
      </c>
    </row>
    <row r="12" spans="1:12" ht="48" customHeight="1" thickBot="1" x14ac:dyDescent="0.3">
      <c r="B12" s="160">
        <v>1</v>
      </c>
      <c r="C12" s="237" t="s">
        <v>0</v>
      </c>
      <c r="D12" s="238"/>
      <c r="E12" s="238"/>
      <c r="F12" s="238"/>
      <c r="G12" s="238"/>
      <c r="H12" s="238"/>
      <c r="I12" s="238"/>
      <c r="J12" s="250"/>
      <c r="K12" s="179">
        <f>SUM(K13:K19)</f>
        <v>1245.3</v>
      </c>
    </row>
    <row r="13" spans="1:12" ht="94.5" customHeight="1" x14ac:dyDescent="0.25">
      <c r="B13" s="177"/>
      <c r="C13" s="48" t="s">
        <v>247</v>
      </c>
      <c r="D13" s="45" t="s">
        <v>664</v>
      </c>
      <c r="E13" s="163">
        <v>44562</v>
      </c>
      <c r="F13" s="176">
        <v>44926</v>
      </c>
      <c r="G13" s="151" t="s">
        <v>10</v>
      </c>
      <c r="H13" s="152"/>
      <c r="I13" s="152"/>
      <c r="J13" s="151"/>
      <c r="K13" s="155">
        <v>200</v>
      </c>
    </row>
    <row r="14" spans="1:12" ht="62.25" customHeight="1" x14ac:dyDescent="0.25">
      <c r="B14" s="177"/>
      <c r="C14" s="44" t="s">
        <v>248</v>
      </c>
      <c r="D14" s="43" t="s">
        <v>665</v>
      </c>
      <c r="E14" s="163">
        <v>44562</v>
      </c>
      <c r="F14" s="163">
        <v>44926</v>
      </c>
      <c r="G14" s="151" t="s">
        <v>10</v>
      </c>
      <c r="H14" s="152"/>
      <c r="I14" s="152"/>
      <c r="J14" s="151"/>
      <c r="K14" s="168">
        <v>50</v>
      </c>
    </row>
    <row r="15" spans="1:12" ht="52.5" customHeight="1" x14ac:dyDescent="0.25">
      <c r="B15" s="177"/>
      <c r="C15" s="44" t="s">
        <v>249</v>
      </c>
      <c r="D15" s="43" t="s">
        <v>661</v>
      </c>
      <c r="E15" s="163">
        <v>44562</v>
      </c>
      <c r="F15" s="176">
        <v>44926</v>
      </c>
      <c r="G15" s="151" t="s">
        <v>10</v>
      </c>
      <c r="H15" s="152"/>
      <c r="I15" s="152"/>
      <c r="J15" s="151"/>
      <c r="K15" s="168">
        <v>270</v>
      </c>
      <c r="L15" s="178"/>
    </row>
    <row r="16" spans="1:12" ht="66" customHeight="1" x14ac:dyDescent="0.25">
      <c r="B16" s="177"/>
      <c r="C16" s="44" t="s">
        <v>250</v>
      </c>
      <c r="D16" s="43" t="s">
        <v>239</v>
      </c>
      <c r="E16" s="163">
        <v>44562</v>
      </c>
      <c r="F16" s="163">
        <v>44926</v>
      </c>
      <c r="G16" s="166" t="s">
        <v>10</v>
      </c>
      <c r="H16" s="169"/>
      <c r="I16" s="169"/>
      <c r="J16" s="166"/>
      <c r="K16" s="168">
        <v>107</v>
      </c>
    </row>
    <row r="17" spans="2:12" ht="72.75" customHeight="1" x14ac:dyDescent="0.25">
      <c r="B17" s="177"/>
      <c r="C17" s="46" t="s">
        <v>251</v>
      </c>
      <c r="D17" s="47" t="s">
        <v>666</v>
      </c>
      <c r="E17" s="163">
        <v>44562</v>
      </c>
      <c r="F17" s="163">
        <v>44926</v>
      </c>
      <c r="G17" s="147" t="s">
        <v>10</v>
      </c>
      <c r="H17" s="173"/>
      <c r="I17" s="173"/>
      <c r="J17" s="147"/>
      <c r="K17" s="175">
        <v>23.3</v>
      </c>
    </row>
    <row r="18" spans="2:12" ht="72.75" customHeight="1" x14ac:dyDescent="0.25">
      <c r="B18" s="177"/>
      <c r="C18" s="46" t="s">
        <v>252</v>
      </c>
      <c r="D18" s="47" t="s">
        <v>660</v>
      </c>
      <c r="E18" s="163">
        <v>44562</v>
      </c>
      <c r="F18" s="176">
        <v>44926</v>
      </c>
      <c r="G18" s="147" t="s">
        <v>10</v>
      </c>
      <c r="H18" s="173"/>
      <c r="I18" s="173"/>
      <c r="J18" s="147"/>
      <c r="K18" s="175">
        <v>235</v>
      </c>
    </row>
    <row r="19" spans="2:12" ht="45" customHeight="1" thickBot="1" x14ac:dyDescent="0.3">
      <c r="B19" s="174"/>
      <c r="C19" s="46" t="s">
        <v>659</v>
      </c>
      <c r="D19" s="47" t="s">
        <v>658</v>
      </c>
      <c r="E19" s="163">
        <v>44562</v>
      </c>
      <c r="F19" s="163">
        <v>44926</v>
      </c>
      <c r="G19" s="147" t="s">
        <v>10</v>
      </c>
      <c r="H19" s="173"/>
      <c r="I19" s="173"/>
      <c r="J19" s="147"/>
      <c r="K19" s="172">
        <v>360</v>
      </c>
    </row>
    <row r="20" spans="2:12" ht="48" customHeight="1" thickBot="1" x14ac:dyDescent="0.3">
      <c r="B20" s="160">
        <v>2</v>
      </c>
      <c r="C20" s="238" t="s">
        <v>1</v>
      </c>
      <c r="D20" s="238"/>
      <c r="E20" s="238"/>
      <c r="F20" s="238"/>
      <c r="G20" s="238"/>
      <c r="H20" s="238"/>
      <c r="I20" s="238"/>
      <c r="J20" s="250"/>
      <c r="K20" s="171">
        <f>SUM(K21:K44)</f>
        <v>103483.1</v>
      </c>
    </row>
    <row r="21" spans="2:12" ht="48" customHeight="1" x14ac:dyDescent="0.25">
      <c r="B21" s="161"/>
      <c r="C21" s="48" t="s">
        <v>253</v>
      </c>
      <c r="D21" s="45" t="s">
        <v>667</v>
      </c>
      <c r="E21" s="163">
        <v>44562</v>
      </c>
      <c r="F21" s="163">
        <v>44926</v>
      </c>
      <c r="G21" s="166" t="s">
        <v>10</v>
      </c>
      <c r="H21" s="152"/>
      <c r="I21" s="152"/>
      <c r="J21" s="151"/>
      <c r="K21" s="150">
        <f>160+190</f>
        <v>350</v>
      </c>
    </row>
    <row r="22" spans="2:12" ht="48" customHeight="1" x14ac:dyDescent="0.25">
      <c r="B22" s="161"/>
      <c r="C22" s="44" t="s">
        <v>254</v>
      </c>
      <c r="D22" s="43" t="s">
        <v>657</v>
      </c>
      <c r="E22" s="163">
        <v>44562</v>
      </c>
      <c r="F22" s="163">
        <v>44926</v>
      </c>
      <c r="G22" s="166" t="s">
        <v>10</v>
      </c>
      <c r="H22" s="152"/>
      <c r="I22" s="152"/>
      <c r="J22" s="166"/>
      <c r="K22" s="150">
        <v>115</v>
      </c>
    </row>
    <row r="23" spans="2:12" ht="48" customHeight="1" x14ac:dyDescent="0.25">
      <c r="B23" s="161"/>
      <c r="C23" s="48" t="s">
        <v>255</v>
      </c>
      <c r="D23" s="45" t="s">
        <v>656</v>
      </c>
      <c r="E23" s="163">
        <v>44562</v>
      </c>
      <c r="F23" s="163">
        <v>44926</v>
      </c>
      <c r="G23" s="166" t="s">
        <v>10</v>
      </c>
      <c r="H23" s="152"/>
      <c r="I23" s="152"/>
      <c r="J23" s="151"/>
      <c r="K23" s="150">
        <v>24</v>
      </c>
    </row>
    <row r="24" spans="2:12" ht="28.5" customHeight="1" x14ac:dyDescent="0.25">
      <c r="B24" s="161"/>
      <c r="C24" s="48" t="s">
        <v>256</v>
      </c>
      <c r="D24" s="45" t="s">
        <v>655</v>
      </c>
      <c r="E24" s="163">
        <v>44562</v>
      </c>
      <c r="F24" s="163">
        <v>44926</v>
      </c>
      <c r="G24" s="166" t="s">
        <v>10</v>
      </c>
      <c r="H24" s="152"/>
      <c r="I24" s="152"/>
      <c r="J24" s="151"/>
      <c r="K24" s="150">
        <v>50</v>
      </c>
    </row>
    <row r="25" spans="2:12" ht="48" customHeight="1" x14ac:dyDescent="0.25">
      <c r="B25" s="161"/>
      <c r="C25" s="44" t="s">
        <v>257</v>
      </c>
      <c r="D25" s="43" t="s">
        <v>5</v>
      </c>
      <c r="E25" s="163">
        <v>44562</v>
      </c>
      <c r="F25" s="163">
        <v>44926</v>
      </c>
      <c r="G25" s="166" t="s">
        <v>10</v>
      </c>
      <c r="H25" s="152"/>
      <c r="I25" s="152"/>
      <c r="J25" s="166"/>
      <c r="K25" s="150">
        <v>19300</v>
      </c>
    </row>
    <row r="26" spans="2:12" ht="48" customHeight="1" x14ac:dyDescent="0.25">
      <c r="B26" s="161"/>
      <c r="C26" s="44" t="s">
        <v>258</v>
      </c>
      <c r="D26" s="43" t="s">
        <v>240</v>
      </c>
      <c r="E26" s="163">
        <v>44562</v>
      </c>
      <c r="F26" s="163">
        <v>44926</v>
      </c>
      <c r="G26" s="166" t="s">
        <v>10</v>
      </c>
      <c r="H26" s="152"/>
      <c r="I26" s="152"/>
      <c r="J26" s="166"/>
      <c r="K26" s="150">
        <v>5511</v>
      </c>
    </row>
    <row r="27" spans="2:12" ht="48" customHeight="1" x14ac:dyDescent="0.25">
      <c r="B27" s="161"/>
      <c r="C27" s="44" t="s">
        <v>259</v>
      </c>
      <c r="D27" s="43" t="s">
        <v>241</v>
      </c>
      <c r="E27" s="163">
        <v>44562</v>
      </c>
      <c r="F27" s="163">
        <v>44926</v>
      </c>
      <c r="G27" s="166" t="s">
        <v>10</v>
      </c>
      <c r="H27" s="152"/>
      <c r="I27" s="152"/>
      <c r="J27" s="166"/>
      <c r="K27" s="150">
        <v>55</v>
      </c>
    </row>
    <row r="28" spans="2:12" ht="48" customHeight="1" x14ac:dyDescent="0.25">
      <c r="B28" s="161"/>
      <c r="C28" s="44" t="s">
        <v>260</v>
      </c>
      <c r="D28" s="43" t="s">
        <v>168</v>
      </c>
      <c r="E28" s="163">
        <v>44562</v>
      </c>
      <c r="F28" s="163">
        <v>44926</v>
      </c>
      <c r="G28" s="166" t="s">
        <v>10</v>
      </c>
      <c r="H28" s="152"/>
      <c r="I28" s="152"/>
      <c r="J28" s="166"/>
      <c r="K28" s="150">
        <f>298+261</f>
        <v>559</v>
      </c>
      <c r="L28" s="125"/>
    </row>
    <row r="29" spans="2:12" ht="48" customHeight="1" x14ac:dyDescent="0.25">
      <c r="B29" s="161"/>
      <c r="C29" s="44" t="s">
        <v>261</v>
      </c>
      <c r="D29" s="43" t="s">
        <v>654</v>
      </c>
      <c r="E29" s="163">
        <v>44562</v>
      </c>
      <c r="F29" s="163">
        <v>44926</v>
      </c>
      <c r="G29" s="166" t="s">
        <v>10</v>
      </c>
      <c r="H29" s="152"/>
      <c r="I29" s="152"/>
      <c r="J29" s="166"/>
      <c r="K29" s="150">
        <f>1551+24</f>
        <v>1575</v>
      </c>
      <c r="L29" s="125"/>
    </row>
    <row r="30" spans="2:12" ht="48" customHeight="1" x14ac:dyDescent="0.25">
      <c r="B30" s="161"/>
      <c r="C30" s="48" t="s">
        <v>262</v>
      </c>
      <c r="D30" s="45" t="s">
        <v>653</v>
      </c>
      <c r="E30" s="163">
        <v>44562</v>
      </c>
      <c r="F30" s="163">
        <v>44926</v>
      </c>
      <c r="G30" s="166" t="s">
        <v>10</v>
      </c>
      <c r="H30" s="152"/>
      <c r="I30" s="152"/>
      <c r="J30" s="151"/>
      <c r="K30" s="150">
        <v>5595</v>
      </c>
      <c r="L30" s="125"/>
    </row>
    <row r="31" spans="2:12" ht="48" customHeight="1" x14ac:dyDescent="0.25">
      <c r="B31" s="161"/>
      <c r="C31" s="48" t="s">
        <v>263</v>
      </c>
      <c r="D31" s="45" t="s">
        <v>6</v>
      </c>
      <c r="E31" s="163">
        <v>44562</v>
      </c>
      <c r="F31" s="163">
        <v>44926</v>
      </c>
      <c r="G31" s="166" t="s">
        <v>10</v>
      </c>
      <c r="H31" s="152"/>
      <c r="I31" s="152"/>
      <c r="J31" s="151"/>
      <c r="K31" s="150">
        <v>8674</v>
      </c>
    </row>
    <row r="32" spans="2:12" ht="61.5" customHeight="1" x14ac:dyDescent="0.25">
      <c r="B32" s="161"/>
      <c r="C32" s="48" t="s">
        <v>264</v>
      </c>
      <c r="D32" s="45" t="s">
        <v>652</v>
      </c>
      <c r="E32" s="163">
        <v>44562</v>
      </c>
      <c r="F32" s="163">
        <v>44926</v>
      </c>
      <c r="G32" s="151" t="s">
        <v>10</v>
      </c>
      <c r="H32" s="152"/>
      <c r="I32" s="152"/>
      <c r="J32" s="151"/>
      <c r="K32" s="150">
        <v>417</v>
      </c>
    </row>
    <row r="33" spans="2:12" ht="48" customHeight="1" x14ac:dyDescent="0.25">
      <c r="B33" s="161"/>
      <c r="C33" s="48" t="s">
        <v>265</v>
      </c>
      <c r="D33" s="45" t="s">
        <v>167</v>
      </c>
      <c r="E33" s="163">
        <v>44562</v>
      </c>
      <c r="F33" s="163">
        <v>44926</v>
      </c>
      <c r="G33" s="166" t="s">
        <v>10</v>
      </c>
      <c r="H33" s="152"/>
      <c r="I33" s="152"/>
      <c r="J33" s="151"/>
      <c r="K33" s="150">
        <v>16</v>
      </c>
    </row>
    <row r="34" spans="2:12" ht="63" customHeight="1" x14ac:dyDescent="0.25">
      <c r="B34" s="161"/>
      <c r="C34" s="48" t="s">
        <v>266</v>
      </c>
      <c r="D34" s="45" t="s">
        <v>651</v>
      </c>
      <c r="E34" s="163">
        <v>44562</v>
      </c>
      <c r="F34" s="163">
        <v>44926</v>
      </c>
      <c r="G34" s="166" t="s">
        <v>10</v>
      </c>
      <c r="H34" s="152"/>
      <c r="I34" s="152"/>
      <c r="J34" s="151"/>
      <c r="K34" s="150">
        <v>14</v>
      </c>
    </row>
    <row r="35" spans="2:12" ht="48.75" customHeight="1" x14ac:dyDescent="0.25">
      <c r="B35" s="161"/>
      <c r="C35" s="48" t="s">
        <v>267</v>
      </c>
      <c r="D35" s="45" t="s">
        <v>650</v>
      </c>
      <c r="E35" s="163">
        <v>44562</v>
      </c>
      <c r="F35" s="163">
        <v>44926</v>
      </c>
      <c r="G35" s="166" t="s">
        <v>10</v>
      </c>
      <c r="H35" s="152"/>
      <c r="I35" s="152"/>
      <c r="J35" s="151"/>
      <c r="K35" s="150">
        <v>68</v>
      </c>
    </row>
    <row r="36" spans="2:12" ht="37.5" customHeight="1" x14ac:dyDescent="0.25">
      <c r="B36" s="161"/>
      <c r="C36" s="44" t="s">
        <v>268</v>
      </c>
      <c r="D36" s="43" t="s">
        <v>649</v>
      </c>
      <c r="E36" s="163">
        <v>44562</v>
      </c>
      <c r="F36" s="163">
        <v>44926</v>
      </c>
      <c r="G36" s="166" t="s">
        <v>10</v>
      </c>
      <c r="H36" s="152"/>
      <c r="I36" s="152"/>
      <c r="J36" s="166"/>
      <c r="K36" s="150">
        <v>55000</v>
      </c>
      <c r="L36" s="125"/>
    </row>
    <row r="37" spans="2:12" ht="33" customHeight="1" x14ac:dyDescent="0.25">
      <c r="B37" s="161"/>
      <c r="C37" s="44" t="s">
        <v>269</v>
      </c>
      <c r="D37" s="43" t="s">
        <v>648</v>
      </c>
      <c r="E37" s="163">
        <v>44562</v>
      </c>
      <c r="F37" s="163">
        <v>44926</v>
      </c>
      <c r="G37" s="166" t="s">
        <v>10</v>
      </c>
      <c r="H37" s="152"/>
      <c r="I37" s="152"/>
      <c r="J37" s="166"/>
      <c r="K37" s="150">
        <v>3831</v>
      </c>
      <c r="L37" s="125"/>
    </row>
    <row r="38" spans="2:12" ht="48" customHeight="1" x14ac:dyDescent="0.25">
      <c r="B38" s="161"/>
      <c r="C38" s="44" t="s">
        <v>270</v>
      </c>
      <c r="D38" s="43" t="s">
        <v>647</v>
      </c>
      <c r="E38" s="163">
        <v>44562</v>
      </c>
      <c r="F38" s="163">
        <v>44926</v>
      </c>
      <c r="G38" s="166" t="s">
        <v>10</v>
      </c>
      <c r="H38" s="152"/>
      <c r="I38" s="152"/>
      <c r="J38" s="166"/>
      <c r="K38" s="150">
        <v>340</v>
      </c>
      <c r="L38" s="125"/>
    </row>
    <row r="39" spans="2:12" ht="48" customHeight="1" x14ac:dyDescent="0.25">
      <c r="B39" s="161"/>
      <c r="C39" s="44" t="s">
        <v>646</v>
      </c>
      <c r="D39" s="43" t="s">
        <v>645</v>
      </c>
      <c r="E39" s="163">
        <v>44562</v>
      </c>
      <c r="F39" s="163">
        <v>44926</v>
      </c>
      <c r="G39" s="166" t="s">
        <v>10</v>
      </c>
      <c r="H39" s="43"/>
      <c r="I39" s="43"/>
      <c r="J39" s="43"/>
      <c r="K39" s="150">
        <v>1600</v>
      </c>
      <c r="L39" s="125"/>
    </row>
    <row r="40" spans="2:12" ht="62.25" customHeight="1" x14ac:dyDescent="0.25">
      <c r="B40" s="161"/>
      <c r="C40" s="44" t="s">
        <v>644</v>
      </c>
      <c r="D40" s="43" t="s">
        <v>643</v>
      </c>
      <c r="E40" s="163">
        <v>44562</v>
      </c>
      <c r="F40" s="163">
        <v>44926</v>
      </c>
      <c r="G40" s="166" t="s">
        <v>10</v>
      </c>
      <c r="H40" s="43"/>
      <c r="I40" s="43"/>
      <c r="J40" s="43"/>
      <c r="K40" s="150">
        <f>110+15+18+40</f>
        <v>183</v>
      </c>
      <c r="L40" s="125"/>
    </row>
    <row r="41" spans="2:12" ht="62.25" customHeight="1" x14ac:dyDescent="0.25">
      <c r="B41" s="161"/>
      <c r="C41" s="44" t="s">
        <v>642</v>
      </c>
      <c r="D41" s="43" t="s">
        <v>641</v>
      </c>
      <c r="E41" s="163">
        <v>44562</v>
      </c>
      <c r="F41" s="163">
        <v>44926</v>
      </c>
      <c r="G41" s="166" t="s">
        <v>10</v>
      </c>
      <c r="H41" s="43"/>
      <c r="I41" s="43"/>
      <c r="J41" s="43"/>
      <c r="K41" s="150">
        <f>15+15+5</f>
        <v>35</v>
      </c>
      <c r="L41" s="125"/>
    </row>
    <row r="42" spans="2:12" ht="48" customHeight="1" x14ac:dyDescent="0.25">
      <c r="B42" s="161"/>
      <c r="C42" s="44" t="s">
        <v>640</v>
      </c>
      <c r="D42" s="43" t="s">
        <v>639</v>
      </c>
      <c r="E42" s="163">
        <v>44562</v>
      </c>
      <c r="F42" s="163">
        <v>44926</v>
      </c>
      <c r="G42" s="166" t="s">
        <v>10</v>
      </c>
      <c r="H42" s="43"/>
      <c r="I42" s="43"/>
      <c r="J42" s="43"/>
      <c r="K42" s="150">
        <f>13.8+30+32.3</f>
        <v>76.099999999999994</v>
      </c>
      <c r="L42" s="125"/>
    </row>
    <row r="43" spans="2:12" ht="48" customHeight="1" x14ac:dyDescent="0.25">
      <c r="B43" s="161"/>
      <c r="C43" s="44" t="s">
        <v>638</v>
      </c>
      <c r="D43" s="43" t="s">
        <v>637</v>
      </c>
      <c r="E43" s="163">
        <v>44562</v>
      </c>
      <c r="F43" s="163">
        <v>44926</v>
      </c>
      <c r="G43" s="166" t="s">
        <v>10</v>
      </c>
      <c r="H43" s="43"/>
      <c r="I43" s="43"/>
      <c r="J43" s="43"/>
      <c r="K43" s="150">
        <v>60</v>
      </c>
      <c r="L43" s="125"/>
    </row>
    <row r="44" spans="2:12" ht="48" customHeight="1" thickBot="1" x14ac:dyDescent="0.3">
      <c r="B44" s="161"/>
      <c r="C44" s="44" t="s">
        <v>636</v>
      </c>
      <c r="D44" s="43" t="s">
        <v>635</v>
      </c>
      <c r="E44" s="163">
        <v>44562</v>
      </c>
      <c r="F44" s="163">
        <v>44926</v>
      </c>
      <c r="G44" s="170" t="s">
        <v>10</v>
      </c>
      <c r="H44" s="43"/>
      <c r="I44" s="43"/>
      <c r="J44" s="43"/>
      <c r="K44" s="150">
        <v>35</v>
      </c>
      <c r="L44" s="125"/>
    </row>
    <row r="45" spans="2:12" ht="48" customHeight="1" thickBot="1" x14ac:dyDescent="0.3">
      <c r="B45" s="160">
        <v>3</v>
      </c>
      <c r="C45" s="237" t="s">
        <v>271</v>
      </c>
      <c r="D45" s="238"/>
      <c r="E45" s="238"/>
      <c r="F45" s="238"/>
      <c r="G45" s="238"/>
      <c r="H45" s="238"/>
      <c r="I45" s="238"/>
      <c r="J45" s="250"/>
      <c r="K45" s="159">
        <f>SUM(K46:K49)</f>
        <v>5170</v>
      </c>
    </row>
    <row r="46" spans="2:12" ht="48" customHeight="1" x14ac:dyDescent="0.25">
      <c r="B46" s="161"/>
      <c r="C46" s="44" t="s">
        <v>272</v>
      </c>
      <c r="D46" s="43" t="s">
        <v>634</v>
      </c>
      <c r="E46" s="149">
        <v>44562</v>
      </c>
      <c r="F46" s="149">
        <v>44926</v>
      </c>
      <c r="G46" s="166" t="s">
        <v>10</v>
      </c>
      <c r="H46" s="157"/>
      <c r="I46" s="152"/>
      <c r="J46" s="166"/>
      <c r="K46" s="155">
        <f>1535+15</f>
        <v>1550</v>
      </c>
    </row>
    <row r="47" spans="2:12" ht="48" customHeight="1" x14ac:dyDescent="0.25">
      <c r="B47" s="161"/>
      <c r="C47" s="44" t="s">
        <v>273</v>
      </c>
      <c r="D47" s="43" t="s">
        <v>633</v>
      </c>
      <c r="E47" s="163">
        <v>44562</v>
      </c>
      <c r="F47" s="163">
        <v>44926</v>
      </c>
      <c r="G47" s="166" t="s">
        <v>10</v>
      </c>
      <c r="H47" s="152"/>
      <c r="I47" s="152"/>
      <c r="J47" s="166"/>
      <c r="K47" s="150">
        <v>3200</v>
      </c>
    </row>
    <row r="48" spans="2:12" ht="78.75" customHeight="1" x14ac:dyDescent="0.25">
      <c r="B48" s="161"/>
      <c r="C48" s="44" t="s">
        <v>274</v>
      </c>
      <c r="D48" s="43" t="s">
        <v>632</v>
      </c>
      <c r="E48" s="163">
        <v>44562</v>
      </c>
      <c r="F48" s="163">
        <v>44926</v>
      </c>
      <c r="G48" s="166" t="s">
        <v>10</v>
      </c>
      <c r="H48" s="152"/>
      <c r="I48" s="152"/>
      <c r="J48" s="166"/>
      <c r="K48" s="150">
        <v>120</v>
      </c>
    </row>
    <row r="49" spans="2:11" ht="80.25" customHeight="1" thickBot="1" x14ac:dyDescent="0.3">
      <c r="B49" s="161"/>
      <c r="C49" s="44" t="s">
        <v>275</v>
      </c>
      <c r="D49" s="43" t="s">
        <v>631</v>
      </c>
      <c r="E49" s="149">
        <v>44562</v>
      </c>
      <c r="F49" s="149">
        <v>44926</v>
      </c>
      <c r="G49" s="166" t="s">
        <v>10</v>
      </c>
      <c r="H49" s="169"/>
      <c r="I49" s="169"/>
      <c r="J49" s="166"/>
      <c r="K49" s="168">
        <v>300</v>
      </c>
    </row>
    <row r="50" spans="2:11" ht="48" customHeight="1" thickBot="1" x14ac:dyDescent="0.3">
      <c r="B50" s="160">
        <v>4</v>
      </c>
      <c r="C50" s="251" t="s">
        <v>630</v>
      </c>
      <c r="D50" s="251"/>
      <c r="E50" s="251"/>
      <c r="F50" s="251"/>
      <c r="G50" s="251"/>
      <c r="H50" s="251"/>
      <c r="I50" s="251"/>
      <c r="J50" s="251"/>
      <c r="K50" s="167">
        <f>SUM(K51:K60)</f>
        <v>115235</v>
      </c>
    </row>
    <row r="51" spans="2:11" ht="48" customHeight="1" x14ac:dyDescent="0.25">
      <c r="B51" s="161"/>
      <c r="C51" s="44" t="s">
        <v>276</v>
      </c>
      <c r="D51" s="43" t="s">
        <v>629</v>
      </c>
      <c r="E51" s="149">
        <v>44562</v>
      </c>
      <c r="F51" s="149">
        <v>44926</v>
      </c>
      <c r="G51" s="166" t="s">
        <v>10</v>
      </c>
      <c r="H51" s="166"/>
      <c r="I51" s="166"/>
      <c r="J51" s="151"/>
      <c r="K51" s="150">
        <v>3830</v>
      </c>
    </row>
    <row r="52" spans="2:11" ht="48" customHeight="1" x14ac:dyDescent="0.25">
      <c r="B52" s="161"/>
      <c r="C52" s="44" t="s">
        <v>277</v>
      </c>
      <c r="D52" s="43" t="s">
        <v>628</v>
      </c>
      <c r="E52" s="163">
        <v>44562</v>
      </c>
      <c r="F52" s="163">
        <v>44926</v>
      </c>
      <c r="G52" s="166" t="s">
        <v>10</v>
      </c>
      <c r="H52" s="166"/>
      <c r="I52" s="166"/>
      <c r="J52" s="166"/>
      <c r="K52" s="168">
        <v>2150</v>
      </c>
    </row>
    <row r="53" spans="2:11" ht="48" customHeight="1" x14ac:dyDescent="0.25">
      <c r="B53" s="161"/>
      <c r="C53" s="44" t="s">
        <v>278</v>
      </c>
      <c r="D53" s="43" t="s">
        <v>627</v>
      </c>
      <c r="E53" s="149">
        <v>44562</v>
      </c>
      <c r="F53" s="149">
        <v>44926</v>
      </c>
      <c r="G53" s="166" t="s">
        <v>10</v>
      </c>
      <c r="H53" s="166"/>
      <c r="I53" s="166"/>
      <c r="J53" s="166"/>
      <c r="K53" s="168">
        <v>72000</v>
      </c>
    </row>
    <row r="54" spans="2:11" ht="48" customHeight="1" x14ac:dyDescent="0.25">
      <c r="B54" s="161"/>
      <c r="C54" s="44" t="s">
        <v>279</v>
      </c>
      <c r="D54" s="43" t="s">
        <v>242</v>
      </c>
      <c r="E54" s="163">
        <v>44562</v>
      </c>
      <c r="F54" s="163">
        <v>44926</v>
      </c>
      <c r="G54" s="166" t="s">
        <v>10</v>
      </c>
      <c r="H54" s="169"/>
      <c r="I54" s="166"/>
      <c r="J54" s="166"/>
      <c r="K54" s="168">
        <v>5500</v>
      </c>
    </row>
    <row r="55" spans="2:11" ht="48" customHeight="1" x14ac:dyDescent="0.25">
      <c r="B55" s="161"/>
      <c r="C55" s="44" t="s">
        <v>280</v>
      </c>
      <c r="D55" s="43" t="s">
        <v>672</v>
      </c>
      <c r="E55" s="149">
        <v>44562</v>
      </c>
      <c r="F55" s="149">
        <v>44926</v>
      </c>
      <c r="G55" s="166" t="s">
        <v>10</v>
      </c>
      <c r="H55" s="169"/>
      <c r="I55" s="166"/>
      <c r="J55" s="166"/>
      <c r="K55" s="168">
        <v>35</v>
      </c>
    </row>
    <row r="56" spans="2:11" ht="48" customHeight="1" x14ac:dyDescent="0.25">
      <c r="B56" s="161"/>
      <c r="C56" s="44" t="s">
        <v>626</v>
      </c>
      <c r="D56" s="43" t="s">
        <v>625</v>
      </c>
      <c r="E56" s="163">
        <v>44562</v>
      </c>
      <c r="F56" s="163">
        <v>44926</v>
      </c>
      <c r="G56" s="166" t="s">
        <v>10</v>
      </c>
      <c r="H56" s="169"/>
      <c r="I56" s="166"/>
      <c r="J56" s="166"/>
      <c r="K56" s="168">
        <f>1550+2100</f>
        <v>3650</v>
      </c>
    </row>
    <row r="57" spans="2:11" ht="33" customHeight="1" x14ac:dyDescent="0.25">
      <c r="B57" s="161"/>
      <c r="C57" s="44" t="s">
        <v>281</v>
      </c>
      <c r="D57" s="43" t="s">
        <v>624</v>
      </c>
      <c r="E57" s="149">
        <v>44562</v>
      </c>
      <c r="F57" s="149">
        <v>44926</v>
      </c>
      <c r="G57" s="166" t="s">
        <v>10</v>
      </c>
      <c r="H57" s="169"/>
      <c r="I57" s="166"/>
      <c r="J57" s="166"/>
      <c r="K57" s="168">
        <v>28000</v>
      </c>
    </row>
    <row r="58" spans="2:11" ht="48" customHeight="1" x14ac:dyDescent="0.25">
      <c r="B58" s="161"/>
      <c r="C58" s="44" t="s">
        <v>623</v>
      </c>
      <c r="D58" s="43" t="s">
        <v>622</v>
      </c>
      <c r="E58" s="163">
        <v>44562</v>
      </c>
      <c r="F58" s="163">
        <v>44926</v>
      </c>
      <c r="G58" s="166" t="s">
        <v>10</v>
      </c>
      <c r="H58" s="169"/>
      <c r="I58" s="166"/>
      <c r="J58" s="166"/>
      <c r="K58" s="168">
        <v>12</v>
      </c>
    </row>
    <row r="59" spans="2:11" ht="48" customHeight="1" x14ac:dyDescent="0.25">
      <c r="B59" s="161"/>
      <c r="C59" s="44" t="s">
        <v>282</v>
      </c>
      <c r="D59" s="43" t="s">
        <v>621</v>
      </c>
      <c r="E59" s="149">
        <v>44562</v>
      </c>
      <c r="F59" s="149">
        <v>44926</v>
      </c>
      <c r="G59" s="166" t="s">
        <v>10</v>
      </c>
      <c r="H59" s="169"/>
      <c r="I59" s="166"/>
      <c r="J59" s="166"/>
      <c r="K59" s="168">
        <v>45</v>
      </c>
    </row>
    <row r="60" spans="2:11" ht="62.25" customHeight="1" thickBot="1" x14ac:dyDescent="0.3">
      <c r="B60" s="161"/>
      <c r="C60" s="44" t="s">
        <v>283</v>
      </c>
      <c r="D60" s="43" t="s">
        <v>671</v>
      </c>
      <c r="E60" s="149">
        <v>44562</v>
      </c>
      <c r="F60" s="149">
        <v>44926</v>
      </c>
      <c r="G60" s="166" t="s">
        <v>10</v>
      </c>
      <c r="H60" s="169"/>
      <c r="I60" s="166"/>
      <c r="J60" s="166"/>
      <c r="K60" s="168">
        <v>13</v>
      </c>
    </row>
    <row r="61" spans="2:11" ht="48" customHeight="1" thickBot="1" x14ac:dyDescent="0.3">
      <c r="B61" s="160">
        <v>5</v>
      </c>
      <c r="C61" s="252" t="s">
        <v>620</v>
      </c>
      <c r="D61" s="251"/>
      <c r="E61" s="251"/>
      <c r="F61" s="251"/>
      <c r="G61" s="251"/>
      <c r="H61" s="251"/>
      <c r="I61" s="251"/>
      <c r="J61" s="251"/>
      <c r="K61" s="167">
        <f>SUM(K62:K74)</f>
        <v>12654.9</v>
      </c>
    </row>
    <row r="62" spans="2:11" ht="48" customHeight="1" x14ac:dyDescent="0.25">
      <c r="B62" s="161"/>
      <c r="C62" s="41" t="s">
        <v>304</v>
      </c>
      <c r="D62" s="43" t="s">
        <v>619</v>
      </c>
      <c r="E62" s="149">
        <v>44562</v>
      </c>
      <c r="F62" s="149">
        <v>44926</v>
      </c>
      <c r="G62" s="166" t="s">
        <v>10</v>
      </c>
      <c r="H62" s="157"/>
      <c r="I62" s="152"/>
      <c r="J62" s="166"/>
      <c r="K62" s="155">
        <v>100</v>
      </c>
    </row>
    <row r="63" spans="2:11" ht="62.25" customHeight="1" x14ac:dyDescent="0.25">
      <c r="B63" s="161"/>
      <c r="C63" s="42" t="s">
        <v>305</v>
      </c>
      <c r="D63" s="164" t="s">
        <v>670</v>
      </c>
      <c r="E63" s="163">
        <v>44562</v>
      </c>
      <c r="F63" s="163">
        <v>44926</v>
      </c>
      <c r="G63" s="166" t="s">
        <v>10</v>
      </c>
      <c r="H63" s="152"/>
      <c r="I63" s="152"/>
      <c r="J63" s="166"/>
      <c r="K63" s="150">
        <v>100</v>
      </c>
    </row>
    <row r="64" spans="2:11" ht="30" x14ac:dyDescent="0.25">
      <c r="B64" s="161"/>
      <c r="C64" s="42" t="s">
        <v>306</v>
      </c>
      <c r="D64" s="43" t="s">
        <v>618</v>
      </c>
      <c r="E64" s="149">
        <v>44562</v>
      </c>
      <c r="F64" s="149">
        <v>44926</v>
      </c>
      <c r="G64" s="166" t="s">
        <v>10</v>
      </c>
      <c r="H64" s="152"/>
      <c r="I64" s="152"/>
      <c r="J64" s="166"/>
      <c r="K64" s="150">
        <v>480</v>
      </c>
    </row>
    <row r="65" spans="2:12" ht="74.25" customHeight="1" x14ac:dyDescent="0.25">
      <c r="B65" s="161"/>
      <c r="C65" s="42" t="s">
        <v>307</v>
      </c>
      <c r="D65" s="43" t="s">
        <v>617</v>
      </c>
      <c r="E65" s="163">
        <v>44562</v>
      </c>
      <c r="F65" s="163">
        <v>44926</v>
      </c>
      <c r="G65" s="166" t="s">
        <v>10</v>
      </c>
      <c r="H65" s="152"/>
      <c r="I65" s="152"/>
      <c r="J65" s="166"/>
      <c r="K65" s="150">
        <v>300</v>
      </c>
    </row>
    <row r="66" spans="2:12" ht="33" customHeight="1" x14ac:dyDescent="0.25">
      <c r="B66" s="161"/>
      <c r="C66" s="42" t="s">
        <v>308</v>
      </c>
      <c r="D66" s="43" t="s">
        <v>616</v>
      </c>
      <c r="E66" s="149">
        <v>44562</v>
      </c>
      <c r="F66" s="149">
        <v>44926</v>
      </c>
      <c r="G66" s="166" t="s">
        <v>10</v>
      </c>
      <c r="H66" s="152"/>
      <c r="I66" s="152"/>
      <c r="J66" s="166"/>
      <c r="K66" s="150">
        <v>200</v>
      </c>
    </row>
    <row r="67" spans="2:12" ht="64.5" customHeight="1" x14ac:dyDescent="0.25">
      <c r="B67" s="161"/>
      <c r="C67" s="42" t="s">
        <v>309</v>
      </c>
      <c r="D67" s="43" t="s">
        <v>615</v>
      </c>
      <c r="E67" s="163">
        <v>44562</v>
      </c>
      <c r="F67" s="163">
        <v>44926</v>
      </c>
      <c r="G67" s="166" t="s">
        <v>10</v>
      </c>
      <c r="H67" s="152"/>
      <c r="I67" s="152"/>
      <c r="J67" s="166"/>
      <c r="K67" s="150">
        <v>300</v>
      </c>
    </row>
    <row r="68" spans="2:12" ht="60" x14ac:dyDescent="0.25">
      <c r="B68" s="161"/>
      <c r="C68" s="42" t="s">
        <v>310</v>
      </c>
      <c r="D68" s="164" t="s">
        <v>669</v>
      </c>
      <c r="E68" s="149">
        <v>44562</v>
      </c>
      <c r="F68" s="149">
        <v>44926</v>
      </c>
      <c r="G68" s="166" t="s">
        <v>614</v>
      </c>
      <c r="H68" s="152"/>
      <c r="I68" s="152"/>
      <c r="J68" s="166"/>
      <c r="K68" s="150">
        <v>300</v>
      </c>
    </row>
    <row r="69" spans="2:12" ht="30" x14ac:dyDescent="0.25">
      <c r="B69" s="161"/>
      <c r="C69" s="42" t="s">
        <v>613</v>
      </c>
      <c r="D69" s="43" t="s">
        <v>612</v>
      </c>
      <c r="E69" s="163">
        <v>44562</v>
      </c>
      <c r="F69" s="163">
        <v>44926</v>
      </c>
      <c r="G69" s="166" t="s">
        <v>10</v>
      </c>
      <c r="H69" s="152"/>
      <c r="I69" s="152"/>
      <c r="J69" s="166"/>
      <c r="K69" s="150">
        <v>50</v>
      </c>
      <c r="L69" s="125"/>
    </row>
    <row r="70" spans="2:12" ht="30.75" customHeight="1" x14ac:dyDescent="0.25">
      <c r="B70" s="161"/>
      <c r="C70" s="42" t="s">
        <v>311</v>
      </c>
      <c r="D70" s="164" t="s">
        <v>611</v>
      </c>
      <c r="E70" s="149">
        <v>44562</v>
      </c>
      <c r="F70" s="149">
        <v>44926</v>
      </c>
      <c r="G70" s="166" t="s">
        <v>10</v>
      </c>
      <c r="H70" s="152"/>
      <c r="I70" s="152"/>
      <c r="J70" s="166"/>
      <c r="K70" s="150">
        <v>1100</v>
      </c>
      <c r="L70" s="125"/>
    </row>
    <row r="71" spans="2:12" ht="32.25" customHeight="1" x14ac:dyDescent="0.25">
      <c r="B71" s="161"/>
      <c r="C71" s="42" t="s">
        <v>312</v>
      </c>
      <c r="D71" s="43" t="s">
        <v>243</v>
      </c>
      <c r="E71" s="163">
        <v>44562</v>
      </c>
      <c r="F71" s="163">
        <v>44926</v>
      </c>
      <c r="G71" s="166" t="s">
        <v>10</v>
      </c>
      <c r="H71" s="152"/>
      <c r="I71" s="152"/>
      <c r="J71" s="166"/>
      <c r="K71" s="150">
        <v>3150</v>
      </c>
      <c r="L71" s="125"/>
    </row>
    <row r="72" spans="2:12" ht="48.75" customHeight="1" x14ac:dyDescent="0.25">
      <c r="B72" s="161"/>
      <c r="C72" s="42" t="s">
        <v>313</v>
      </c>
      <c r="D72" s="164" t="s">
        <v>610</v>
      </c>
      <c r="E72" s="149">
        <v>44562</v>
      </c>
      <c r="F72" s="149">
        <v>44926</v>
      </c>
      <c r="G72" s="166" t="s">
        <v>10</v>
      </c>
      <c r="H72" s="152"/>
      <c r="I72" s="152"/>
      <c r="J72" s="166"/>
      <c r="K72" s="150">
        <f>259.4+167.5</f>
        <v>426.9</v>
      </c>
      <c r="L72" s="125"/>
    </row>
    <row r="73" spans="2:12" ht="30" x14ac:dyDescent="0.25">
      <c r="B73" s="161"/>
      <c r="C73" s="42" t="s">
        <v>314</v>
      </c>
      <c r="D73" s="43" t="s">
        <v>609</v>
      </c>
      <c r="E73" s="163">
        <v>44562</v>
      </c>
      <c r="F73" s="163">
        <v>44926</v>
      </c>
      <c r="G73" s="166" t="s">
        <v>10</v>
      </c>
      <c r="H73" s="152"/>
      <c r="I73" s="152"/>
      <c r="J73" s="166"/>
      <c r="K73" s="150">
        <v>6108</v>
      </c>
      <c r="L73" s="125"/>
    </row>
    <row r="74" spans="2:12" ht="63" customHeight="1" thickBot="1" x14ac:dyDescent="0.3">
      <c r="B74" s="161"/>
      <c r="C74" s="42" t="s">
        <v>315</v>
      </c>
      <c r="D74" s="43" t="s">
        <v>608</v>
      </c>
      <c r="E74" s="149">
        <v>44562</v>
      </c>
      <c r="F74" s="149">
        <v>44926</v>
      </c>
      <c r="G74" s="166" t="s">
        <v>10</v>
      </c>
      <c r="H74" s="152"/>
      <c r="I74" s="152"/>
      <c r="J74" s="166"/>
      <c r="K74" s="150">
        <v>40</v>
      </c>
      <c r="L74" s="125"/>
    </row>
    <row r="75" spans="2:12" ht="48" customHeight="1" thickBot="1" x14ac:dyDescent="0.3">
      <c r="B75" s="160">
        <v>7</v>
      </c>
      <c r="C75" s="237" t="s">
        <v>2</v>
      </c>
      <c r="D75" s="238"/>
      <c r="E75" s="238"/>
      <c r="F75" s="238"/>
      <c r="G75" s="238"/>
      <c r="H75" s="238"/>
      <c r="I75" s="238"/>
      <c r="J75" s="239"/>
      <c r="K75" s="146">
        <f>SUM(K76:K83)</f>
        <v>1280.8000000000002</v>
      </c>
    </row>
    <row r="76" spans="2:12" ht="60.75" customHeight="1" x14ac:dyDescent="0.25">
      <c r="B76" s="161"/>
      <c r="C76" s="41" t="s">
        <v>284</v>
      </c>
      <c r="D76" s="43" t="s">
        <v>607</v>
      </c>
      <c r="E76" s="149">
        <v>44562</v>
      </c>
      <c r="F76" s="149">
        <v>44926</v>
      </c>
      <c r="G76" s="166" t="s">
        <v>10</v>
      </c>
      <c r="H76" s="165"/>
      <c r="I76" s="165"/>
      <c r="J76" s="165"/>
      <c r="K76" s="155">
        <v>1.7</v>
      </c>
    </row>
    <row r="77" spans="2:12" ht="48" customHeight="1" x14ac:dyDescent="0.25">
      <c r="B77" s="161"/>
      <c r="C77" s="42" t="s">
        <v>285</v>
      </c>
      <c r="D77" s="164" t="s">
        <v>166</v>
      </c>
      <c r="E77" s="163">
        <v>44562</v>
      </c>
      <c r="F77" s="163">
        <v>44926</v>
      </c>
      <c r="G77" s="151" t="s">
        <v>10</v>
      </c>
      <c r="H77" s="162"/>
      <c r="I77" s="162"/>
      <c r="J77" s="162"/>
      <c r="K77" s="150">
        <v>137.9</v>
      </c>
    </row>
    <row r="78" spans="2:12" ht="48" customHeight="1" x14ac:dyDescent="0.25">
      <c r="B78" s="161"/>
      <c r="C78" s="42" t="s">
        <v>286</v>
      </c>
      <c r="D78" s="164" t="s">
        <v>606</v>
      </c>
      <c r="E78" s="149">
        <v>44562</v>
      </c>
      <c r="F78" s="149">
        <v>44926</v>
      </c>
      <c r="G78" s="151" t="s">
        <v>10</v>
      </c>
      <c r="H78" s="162"/>
      <c r="I78" s="162"/>
      <c r="J78" s="162"/>
      <c r="K78" s="150">
        <f>539+12.5</f>
        <v>551.5</v>
      </c>
    </row>
    <row r="79" spans="2:12" ht="48" customHeight="1" x14ac:dyDescent="0.25">
      <c r="B79" s="161"/>
      <c r="C79" s="42" t="s">
        <v>287</v>
      </c>
      <c r="D79" s="43" t="s">
        <v>605</v>
      </c>
      <c r="E79" s="163">
        <v>44562</v>
      </c>
      <c r="F79" s="163">
        <v>44926</v>
      </c>
      <c r="G79" s="151" t="s">
        <v>10</v>
      </c>
      <c r="H79" s="162"/>
      <c r="I79" s="162"/>
      <c r="J79" s="162"/>
      <c r="K79" s="150">
        <v>120</v>
      </c>
    </row>
    <row r="80" spans="2:12" ht="64.5" customHeight="1" x14ac:dyDescent="0.25">
      <c r="B80" s="161"/>
      <c r="C80" s="42" t="s">
        <v>288</v>
      </c>
      <c r="D80" s="43" t="s">
        <v>604</v>
      </c>
      <c r="E80" s="149">
        <v>44562</v>
      </c>
      <c r="F80" s="149">
        <v>44926</v>
      </c>
      <c r="G80" s="151" t="s">
        <v>10</v>
      </c>
      <c r="H80" s="162"/>
      <c r="I80" s="162"/>
      <c r="J80" s="162"/>
      <c r="K80" s="150">
        <f>80+45.7</f>
        <v>125.7</v>
      </c>
      <c r="L80" s="125"/>
    </row>
    <row r="81" spans="2:12" ht="38.25" customHeight="1" x14ac:dyDescent="0.25">
      <c r="B81" s="161"/>
      <c r="C81" s="42" t="s">
        <v>289</v>
      </c>
      <c r="D81" s="43" t="s">
        <v>603</v>
      </c>
      <c r="E81" s="163">
        <v>44562</v>
      </c>
      <c r="F81" s="163">
        <v>44926</v>
      </c>
      <c r="G81" s="151" t="s">
        <v>10</v>
      </c>
      <c r="H81" s="162"/>
      <c r="I81" s="162"/>
      <c r="J81" s="162"/>
      <c r="K81" s="150">
        <v>224</v>
      </c>
      <c r="L81" s="125"/>
    </row>
    <row r="82" spans="2:12" ht="38.25" customHeight="1" x14ac:dyDescent="0.25">
      <c r="B82" s="161"/>
      <c r="C82" s="42" t="s">
        <v>290</v>
      </c>
      <c r="D82" s="43" t="s">
        <v>602</v>
      </c>
      <c r="E82" s="149">
        <v>44562</v>
      </c>
      <c r="F82" s="149">
        <v>44926</v>
      </c>
      <c r="G82" s="151" t="s">
        <v>10</v>
      </c>
      <c r="H82" s="162"/>
      <c r="I82" s="162"/>
      <c r="J82" s="162"/>
      <c r="K82" s="150">
        <v>75</v>
      </c>
      <c r="L82" s="125"/>
    </row>
    <row r="83" spans="2:12" ht="51.75" customHeight="1" thickBot="1" x14ac:dyDescent="0.3">
      <c r="B83" s="161"/>
      <c r="C83" s="42" t="s">
        <v>291</v>
      </c>
      <c r="D83" s="43" t="s">
        <v>601</v>
      </c>
      <c r="E83" s="163">
        <v>44562</v>
      </c>
      <c r="F83" s="163">
        <v>44926</v>
      </c>
      <c r="G83" s="151" t="s">
        <v>10</v>
      </c>
      <c r="H83" s="162"/>
      <c r="I83" s="162"/>
      <c r="J83" s="162"/>
      <c r="K83" s="150">
        <v>45</v>
      </c>
      <c r="L83" s="125"/>
    </row>
    <row r="84" spans="2:12" ht="48" customHeight="1" thickBot="1" x14ac:dyDescent="0.3">
      <c r="B84" s="160">
        <v>10</v>
      </c>
      <c r="C84" s="237" t="s">
        <v>3</v>
      </c>
      <c r="D84" s="238"/>
      <c r="E84" s="238"/>
      <c r="F84" s="238"/>
      <c r="G84" s="238"/>
      <c r="H84" s="238"/>
      <c r="I84" s="238"/>
      <c r="J84" s="250"/>
      <c r="K84" s="159">
        <f>SUM(K85:K85)</f>
        <v>4000</v>
      </c>
    </row>
    <row r="85" spans="2:12" ht="84.75" customHeight="1" thickBot="1" x14ac:dyDescent="0.3">
      <c r="B85" s="161"/>
      <c r="C85" s="42" t="s">
        <v>292</v>
      </c>
      <c r="D85" s="43" t="s">
        <v>668</v>
      </c>
      <c r="E85" s="149">
        <v>44562</v>
      </c>
      <c r="F85" s="149">
        <v>44926</v>
      </c>
      <c r="G85" s="151" t="s">
        <v>10</v>
      </c>
      <c r="H85" s="152"/>
      <c r="I85" s="152"/>
      <c r="J85" s="151"/>
      <c r="K85" s="150">
        <v>4000</v>
      </c>
    </row>
    <row r="86" spans="2:12" ht="48" customHeight="1" thickBot="1" x14ac:dyDescent="0.3">
      <c r="B86" s="160">
        <v>11</v>
      </c>
      <c r="C86" s="237" t="s">
        <v>4</v>
      </c>
      <c r="D86" s="238"/>
      <c r="E86" s="238"/>
      <c r="F86" s="238"/>
      <c r="G86" s="238"/>
      <c r="H86" s="238"/>
      <c r="I86" s="238"/>
      <c r="J86" s="250"/>
      <c r="K86" s="159">
        <f>SUM(K87:K93)</f>
        <v>1504</v>
      </c>
    </row>
    <row r="87" spans="2:12" ht="126" customHeight="1" x14ac:dyDescent="0.25">
      <c r="B87" s="154"/>
      <c r="C87" s="41" t="s">
        <v>293</v>
      </c>
      <c r="D87" s="43" t="s">
        <v>600</v>
      </c>
      <c r="E87" s="149">
        <v>44562</v>
      </c>
      <c r="F87" s="149">
        <v>44926</v>
      </c>
      <c r="G87" s="158" t="s">
        <v>10</v>
      </c>
      <c r="H87" s="157"/>
      <c r="I87" s="157"/>
      <c r="J87" s="156"/>
      <c r="K87" s="155">
        <f>12+5+5</f>
        <v>22</v>
      </c>
    </row>
    <row r="88" spans="2:12" ht="60.75" customHeight="1" x14ac:dyDescent="0.25">
      <c r="B88" s="154"/>
      <c r="C88" s="42" t="s">
        <v>294</v>
      </c>
      <c r="D88" s="43" t="s">
        <v>599</v>
      </c>
      <c r="E88" s="149">
        <v>44562</v>
      </c>
      <c r="F88" s="149">
        <v>44926</v>
      </c>
      <c r="G88" s="153" t="s">
        <v>10</v>
      </c>
      <c r="H88" s="152"/>
      <c r="I88" s="152"/>
      <c r="J88" s="151"/>
      <c r="K88" s="150">
        <v>20</v>
      </c>
    </row>
    <row r="89" spans="2:12" ht="90" customHeight="1" x14ac:dyDescent="0.25">
      <c r="B89" s="154"/>
      <c r="C89" s="42" t="s">
        <v>295</v>
      </c>
      <c r="D89" s="43" t="s">
        <v>598</v>
      </c>
      <c r="E89" s="149">
        <v>44562</v>
      </c>
      <c r="F89" s="149">
        <v>44926</v>
      </c>
      <c r="G89" s="153" t="s">
        <v>10</v>
      </c>
      <c r="H89" s="152"/>
      <c r="I89" s="152"/>
      <c r="J89" s="151"/>
      <c r="K89" s="150">
        <v>20</v>
      </c>
    </row>
    <row r="90" spans="2:12" ht="55.5" customHeight="1" x14ac:dyDescent="0.25">
      <c r="B90" s="154"/>
      <c r="C90" s="42" t="s">
        <v>296</v>
      </c>
      <c r="D90" s="43" t="s">
        <v>597</v>
      </c>
      <c r="E90" s="149">
        <v>44562</v>
      </c>
      <c r="F90" s="149">
        <v>44926</v>
      </c>
      <c r="G90" s="153" t="s">
        <v>10</v>
      </c>
      <c r="H90" s="152"/>
      <c r="I90" s="152"/>
      <c r="J90" s="151"/>
      <c r="K90" s="150">
        <v>226</v>
      </c>
    </row>
    <row r="91" spans="2:12" ht="45" customHeight="1" x14ac:dyDescent="0.25">
      <c r="B91" s="154"/>
      <c r="C91" s="42" t="s">
        <v>297</v>
      </c>
      <c r="D91" s="43" t="s">
        <v>596</v>
      </c>
      <c r="E91" s="149">
        <v>44562</v>
      </c>
      <c r="F91" s="149">
        <v>44926</v>
      </c>
      <c r="G91" s="153" t="s">
        <v>10</v>
      </c>
      <c r="H91" s="152"/>
      <c r="I91" s="152"/>
      <c r="J91" s="151"/>
      <c r="K91" s="150">
        <v>180</v>
      </c>
    </row>
    <row r="92" spans="2:12" ht="29.25" customHeight="1" x14ac:dyDescent="0.25">
      <c r="B92" s="154"/>
      <c r="C92" s="42" t="s">
        <v>298</v>
      </c>
      <c r="D92" s="43" t="s">
        <v>595</v>
      </c>
      <c r="E92" s="149">
        <v>44562</v>
      </c>
      <c r="F92" s="149">
        <v>44926</v>
      </c>
      <c r="G92" s="153" t="s">
        <v>10</v>
      </c>
      <c r="H92" s="152"/>
      <c r="I92" s="152"/>
      <c r="J92" s="151"/>
      <c r="K92" s="150">
        <v>1000</v>
      </c>
    </row>
    <row r="93" spans="2:12" ht="48" customHeight="1" thickBot="1" x14ac:dyDescent="0.3">
      <c r="B93" s="154"/>
      <c r="C93" s="42" t="s">
        <v>299</v>
      </c>
      <c r="D93" s="43" t="s">
        <v>594</v>
      </c>
      <c r="E93" s="149">
        <v>44562</v>
      </c>
      <c r="F93" s="149">
        <v>44926</v>
      </c>
      <c r="G93" s="153" t="s">
        <v>10</v>
      </c>
      <c r="H93" s="152"/>
      <c r="I93" s="152"/>
      <c r="J93" s="151"/>
      <c r="K93" s="150">
        <v>36</v>
      </c>
    </row>
    <row r="94" spans="2:12" ht="48" customHeight="1" thickBot="1" x14ac:dyDescent="0.3">
      <c r="B94" s="253">
        <v>12</v>
      </c>
      <c r="C94" s="237" t="s">
        <v>300</v>
      </c>
      <c r="D94" s="238"/>
      <c r="E94" s="238"/>
      <c r="F94" s="238"/>
      <c r="G94" s="238"/>
      <c r="H94" s="238"/>
      <c r="I94" s="238"/>
      <c r="J94" s="239"/>
      <c r="K94" s="146">
        <f>SUM(K95:K95)</f>
        <v>3000</v>
      </c>
    </row>
    <row r="95" spans="2:12" ht="48" customHeight="1" thickBot="1" x14ac:dyDescent="0.3">
      <c r="B95" s="254"/>
      <c r="C95" s="49" t="s">
        <v>301</v>
      </c>
      <c r="D95" s="47" t="s">
        <v>593</v>
      </c>
      <c r="E95" s="149">
        <v>44562</v>
      </c>
      <c r="F95" s="148">
        <v>44926</v>
      </c>
      <c r="G95" s="36" t="s">
        <v>10</v>
      </c>
      <c r="H95" s="37"/>
      <c r="I95" s="37"/>
      <c r="J95" s="147"/>
      <c r="K95" s="38">
        <v>3000</v>
      </c>
    </row>
    <row r="96" spans="2:12" ht="48" customHeight="1" thickBot="1" x14ac:dyDescent="0.3">
      <c r="C96" s="255" t="s">
        <v>331</v>
      </c>
      <c r="D96" s="256"/>
      <c r="E96" s="256"/>
      <c r="F96" s="256"/>
      <c r="G96" s="256"/>
      <c r="H96" s="256"/>
      <c r="I96" s="256"/>
      <c r="J96" s="257"/>
      <c r="K96" s="146">
        <f>K12+K20+K45+K50+K61+K75+K84+K86+K94</f>
        <v>247573.1</v>
      </c>
    </row>
  </sheetData>
  <mergeCells count="17">
    <mergeCell ref="C84:J84"/>
    <mergeCell ref="C86:J86"/>
    <mergeCell ref="B94:B95"/>
    <mergeCell ref="C94:J94"/>
    <mergeCell ref="C96:J96"/>
    <mergeCell ref="C75:J75"/>
    <mergeCell ref="C2:K2"/>
    <mergeCell ref="C3:K3"/>
    <mergeCell ref="C4:K4"/>
    <mergeCell ref="C5:K7"/>
    <mergeCell ref="G10:J10"/>
    <mergeCell ref="C11:D11"/>
    <mergeCell ref="C12:J12"/>
    <mergeCell ref="C20:J20"/>
    <mergeCell ref="C45:J45"/>
    <mergeCell ref="C50:J50"/>
    <mergeCell ref="C61:J61"/>
  </mergeCells>
  <hyperlinks>
    <hyperlink ref="A1" location="Contenido!A1" display="Volver al menú" xr:uid="{00000000-0004-0000-0100-000000000000}"/>
  </hyperlink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7"/>
  <sheetViews>
    <sheetView showGridLines="0" zoomScaleNormal="100" workbookViewId="0">
      <pane ySplit="8" topLeftCell="A9" activePane="bottomLeft" state="frozen"/>
      <selection pane="bottomLeft" activeCell="B137" sqref="B137"/>
    </sheetView>
  </sheetViews>
  <sheetFormatPr baseColWidth="10" defaultRowHeight="15" x14ac:dyDescent="0.25"/>
  <cols>
    <col min="1" max="1" width="89.7109375" customWidth="1"/>
    <col min="2" max="2" width="20.7109375" customWidth="1"/>
    <col min="3" max="3" width="19.140625" customWidth="1"/>
    <col min="4" max="4" width="15.140625" bestFit="1" customWidth="1"/>
  </cols>
  <sheetData>
    <row r="1" spans="1:3" x14ac:dyDescent="0.25">
      <c r="A1" s="58" t="s">
        <v>663</v>
      </c>
    </row>
    <row r="2" spans="1:3" ht="26.25" x14ac:dyDescent="0.4">
      <c r="A2" s="259" t="s">
        <v>43</v>
      </c>
      <c r="B2" s="259"/>
      <c r="C2" s="185"/>
    </row>
    <row r="3" spans="1:3" ht="18.75" x14ac:dyDescent="0.3">
      <c r="A3" s="260" t="s">
        <v>549</v>
      </c>
      <c r="B3" s="260"/>
      <c r="C3" s="186"/>
    </row>
    <row r="4" spans="1:3" ht="18.75" x14ac:dyDescent="0.3">
      <c r="A4" s="260" t="s">
        <v>11</v>
      </c>
      <c r="B4" s="260"/>
      <c r="C4" s="186"/>
    </row>
    <row r="5" spans="1:3" x14ac:dyDescent="0.25">
      <c r="A5" s="261" t="s">
        <v>550</v>
      </c>
      <c r="B5" s="261"/>
      <c r="C5" s="187"/>
    </row>
    <row r="6" spans="1:3" x14ac:dyDescent="0.25">
      <c r="A6" s="262" t="s">
        <v>173</v>
      </c>
      <c r="B6" s="262"/>
      <c r="C6" s="188"/>
    </row>
    <row r="7" spans="1:3" x14ac:dyDescent="0.25">
      <c r="A7" s="258"/>
      <c r="B7" s="258"/>
      <c r="C7" s="258"/>
    </row>
    <row r="8" spans="1:3" x14ac:dyDescent="0.25">
      <c r="A8" s="207" t="s">
        <v>417</v>
      </c>
      <c r="B8" s="115" t="s">
        <v>673</v>
      </c>
    </row>
    <row r="9" spans="1:3" x14ac:dyDescent="0.25">
      <c r="A9" s="128" t="s">
        <v>12</v>
      </c>
      <c r="B9" s="131">
        <f>B10+B17+B22+B24+B40+B42+B44</f>
        <v>548823139547.92932</v>
      </c>
    </row>
    <row r="10" spans="1:3" x14ac:dyDescent="0.25">
      <c r="A10" s="129" t="s">
        <v>13</v>
      </c>
      <c r="B10" s="133">
        <f>SUM(B11:B16)</f>
        <v>497736543220.79999</v>
      </c>
    </row>
    <row r="11" spans="1:3" x14ac:dyDescent="0.25">
      <c r="A11" s="130" t="s">
        <v>418</v>
      </c>
      <c r="B11" s="132">
        <v>196155145591</v>
      </c>
    </row>
    <row r="12" spans="1:3" x14ac:dyDescent="0.25">
      <c r="A12" s="130" t="s">
        <v>419</v>
      </c>
      <c r="B12" s="132">
        <v>1231461996.8</v>
      </c>
    </row>
    <row r="13" spans="1:3" x14ac:dyDescent="0.25">
      <c r="A13" s="130" t="s">
        <v>420</v>
      </c>
      <c r="B13" s="132">
        <v>192681866953</v>
      </c>
    </row>
    <row r="14" spans="1:3" x14ac:dyDescent="0.25">
      <c r="A14" s="130" t="s">
        <v>421</v>
      </c>
      <c r="B14" s="132">
        <v>55085059090</v>
      </c>
    </row>
    <row r="15" spans="1:3" x14ac:dyDescent="0.25">
      <c r="A15" s="130" t="s">
        <v>422</v>
      </c>
      <c r="B15" s="132">
        <v>190432500</v>
      </c>
    </row>
    <row r="16" spans="1:3" x14ac:dyDescent="0.25">
      <c r="A16" s="130" t="s">
        <v>423</v>
      </c>
      <c r="B16" s="132">
        <v>52392577090</v>
      </c>
    </row>
    <row r="17" spans="1:2" x14ac:dyDescent="0.25">
      <c r="A17" s="129" t="s">
        <v>17</v>
      </c>
      <c r="B17" s="133">
        <f>SUM(B18:B21)</f>
        <v>20690099989</v>
      </c>
    </row>
    <row r="18" spans="1:2" x14ac:dyDescent="0.25">
      <c r="A18" s="130" t="s">
        <v>551</v>
      </c>
      <c r="B18" s="132">
        <v>15101719000</v>
      </c>
    </row>
    <row r="19" spans="1:2" x14ac:dyDescent="0.25">
      <c r="A19" s="130" t="s">
        <v>425</v>
      </c>
      <c r="B19" s="132">
        <v>3607152081</v>
      </c>
    </row>
    <row r="20" spans="1:2" x14ac:dyDescent="0.25">
      <c r="A20" s="130" t="s">
        <v>426</v>
      </c>
      <c r="B20" s="132">
        <v>1731478908</v>
      </c>
    </row>
    <row r="21" spans="1:2" x14ac:dyDescent="0.25">
      <c r="A21" s="130" t="s">
        <v>427</v>
      </c>
      <c r="B21" s="132">
        <v>249750000</v>
      </c>
    </row>
    <row r="22" spans="1:2" x14ac:dyDescent="0.25">
      <c r="A22" s="129" t="s">
        <v>15</v>
      </c>
      <c r="B22" s="133">
        <f>SUM(B23)</f>
        <v>18912148864.909367</v>
      </c>
    </row>
    <row r="23" spans="1:2" x14ac:dyDescent="0.25">
      <c r="A23" s="130" t="s">
        <v>424</v>
      </c>
      <c r="B23" s="132">
        <v>18912148864.909367</v>
      </c>
    </row>
    <row r="24" spans="1:2" x14ac:dyDescent="0.25">
      <c r="A24" s="129" t="s">
        <v>16</v>
      </c>
      <c r="B24" s="133">
        <f>SUM(B25:B39)</f>
        <v>8904353796.2200012</v>
      </c>
    </row>
    <row r="25" spans="1:2" x14ac:dyDescent="0.25">
      <c r="A25" s="130" t="s">
        <v>552</v>
      </c>
      <c r="B25" s="132">
        <v>33563750</v>
      </c>
    </row>
    <row r="26" spans="1:2" x14ac:dyDescent="0.25">
      <c r="A26" s="130" t="s">
        <v>553</v>
      </c>
      <c r="B26" s="132">
        <v>10500000</v>
      </c>
    </row>
    <row r="27" spans="1:2" x14ac:dyDescent="0.25">
      <c r="A27" s="130" t="s">
        <v>428</v>
      </c>
      <c r="B27" s="132">
        <v>26229806</v>
      </c>
    </row>
    <row r="28" spans="1:2" x14ac:dyDescent="0.25">
      <c r="A28" s="130" t="s">
        <v>554</v>
      </c>
      <c r="B28" s="132">
        <v>96869619</v>
      </c>
    </row>
    <row r="29" spans="1:2" x14ac:dyDescent="0.25">
      <c r="A29" s="130" t="s">
        <v>429</v>
      </c>
      <c r="B29" s="132">
        <v>2000000000</v>
      </c>
    </row>
    <row r="30" spans="1:2" x14ac:dyDescent="0.25">
      <c r="A30" s="130" t="s">
        <v>430</v>
      </c>
      <c r="B30" s="132">
        <v>301000000</v>
      </c>
    </row>
    <row r="31" spans="1:2" x14ac:dyDescent="0.25">
      <c r="A31" s="130" t="s">
        <v>431</v>
      </c>
      <c r="B31" s="132">
        <v>1675800000</v>
      </c>
    </row>
    <row r="32" spans="1:2" x14ac:dyDescent="0.25">
      <c r="A32" s="130" t="s">
        <v>432</v>
      </c>
      <c r="B32" s="132">
        <v>60301988</v>
      </c>
    </row>
    <row r="33" spans="1:4" x14ac:dyDescent="0.25">
      <c r="A33" s="130" t="s">
        <v>433</v>
      </c>
      <c r="B33" s="132">
        <v>1953809878.4200001</v>
      </c>
    </row>
    <row r="34" spans="1:4" x14ac:dyDescent="0.25">
      <c r="A34" s="130" t="s">
        <v>434</v>
      </c>
      <c r="B34" s="132">
        <v>565949467</v>
      </c>
    </row>
    <row r="35" spans="1:4" x14ac:dyDescent="0.25">
      <c r="A35" s="130" t="s">
        <v>435</v>
      </c>
      <c r="B35" s="132">
        <v>296977154.80000001</v>
      </c>
    </row>
    <row r="36" spans="1:4" x14ac:dyDescent="0.25">
      <c r="A36" s="130" t="s">
        <v>555</v>
      </c>
      <c r="B36" s="132">
        <v>4495988</v>
      </c>
    </row>
    <row r="37" spans="1:4" x14ac:dyDescent="0.25">
      <c r="A37" s="130" t="s">
        <v>436</v>
      </c>
      <c r="B37" s="132">
        <v>162538863</v>
      </c>
    </row>
    <row r="38" spans="1:4" x14ac:dyDescent="0.25">
      <c r="A38" s="130" t="s">
        <v>437</v>
      </c>
      <c r="B38" s="132">
        <v>869317282</v>
      </c>
    </row>
    <row r="39" spans="1:4" x14ac:dyDescent="0.25">
      <c r="A39" s="130" t="s">
        <v>556</v>
      </c>
      <c r="B39" s="132">
        <v>847000000</v>
      </c>
    </row>
    <row r="40" spans="1:4" x14ac:dyDescent="0.25">
      <c r="A40" s="129" t="s">
        <v>14</v>
      </c>
      <c r="B40" s="133">
        <f>SUM(B41)</f>
        <v>2484643677</v>
      </c>
    </row>
    <row r="41" spans="1:4" x14ac:dyDescent="0.25">
      <c r="A41" s="130" t="s">
        <v>438</v>
      </c>
      <c r="B41" s="132">
        <v>2484643677</v>
      </c>
    </row>
    <row r="42" spans="1:4" x14ac:dyDescent="0.25">
      <c r="A42" s="129" t="s">
        <v>332</v>
      </c>
      <c r="B42" s="133">
        <f>SUM(B43)</f>
        <v>80000000</v>
      </c>
    </row>
    <row r="43" spans="1:4" x14ac:dyDescent="0.25">
      <c r="A43" s="130" t="s">
        <v>557</v>
      </c>
      <c r="B43" s="132">
        <v>80000000</v>
      </c>
    </row>
    <row r="44" spans="1:4" x14ac:dyDescent="0.25">
      <c r="A44" s="129" t="s">
        <v>245</v>
      </c>
      <c r="B44" s="133">
        <f>SUM(B45:B46)</f>
        <v>15350000</v>
      </c>
    </row>
    <row r="45" spans="1:4" x14ac:dyDescent="0.25">
      <c r="A45" s="130" t="s">
        <v>558</v>
      </c>
      <c r="B45" s="132">
        <v>6000000</v>
      </c>
    </row>
    <row r="46" spans="1:4" x14ac:dyDescent="0.25">
      <c r="A46" s="130" t="s">
        <v>439</v>
      </c>
      <c r="B46" s="132">
        <v>9350000</v>
      </c>
    </row>
    <row r="47" spans="1:4" x14ac:dyDescent="0.25">
      <c r="A47" s="128" t="s">
        <v>18</v>
      </c>
      <c r="B47" s="131">
        <f>B48+B66+B73+B75+B81+B94+B97+B102+B104+B107+B111+B113+B115+B117</f>
        <v>548823139548.15332</v>
      </c>
    </row>
    <row r="48" spans="1:4" x14ac:dyDescent="0.25">
      <c r="A48" s="129" t="s">
        <v>19</v>
      </c>
      <c r="B48" s="133">
        <f>SUM(B49:B65)</f>
        <v>372802092621.30493</v>
      </c>
      <c r="D48" s="121"/>
    </row>
    <row r="49" spans="1:2" x14ac:dyDescent="0.25">
      <c r="A49" s="130" t="s">
        <v>440</v>
      </c>
      <c r="B49" s="132">
        <v>815599575.83500004</v>
      </c>
    </row>
    <row r="50" spans="1:2" x14ac:dyDescent="0.25">
      <c r="A50" s="130" t="s">
        <v>441</v>
      </c>
      <c r="B50" s="132">
        <v>111485009037.79439</v>
      </c>
    </row>
    <row r="51" spans="1:2" x14ac:dyDescent="0.25">
      <c r="A51" s="130" t="s">
        <v>442</v>
      </c>
      <c r="B51" s="132">
        <v>33312195682.183006</v>
      </c>
    </row>
    <row r="52" spans="1:2" x14ac:dyDescent="0.25">
      <c r="A52" s="130" t="s">
        <v>443</v>
      </c>
      <c r="B52" s="132">
        <v>19444920419.321449</v>
      </c>
    </row>
    <row r="53" spans="1:2" x14ac:dyDescent="0.25">
      <c r="A53" s="130" t="s">
        <v>444</v>
      </c>
      <c r="B53" s="132">
        <v>579638300.16400003</v>
      </c>
    </row>
    <row r="54" spans="1:2" x14ac:dyDescent="0.25">
      <c r="A54" s="130" t="s">
        <v>445</v>
      </c>
      <c r="B54" s="132">
        <v>17577105.864999998</v>
      </c>
    </row>
    <row r="55" spans="1:2" x14ac:dyDescent="0.25">
      <c r="A55" s="130" t="s">
        <v>446</v>
      </c>
      <c r="B55" s="132">
        <v>1110886877.9799998</v>
      </c>
    </row>
    <row r="56" spans="1:2" x14ac:dyDescent="0.25">
      <c r="A56" s="130" t="s">
        <v>447</v>
      </c>
      <c r="B56" s="132">
        <v>8108531814.8570442</v>
      </c>
    </row>
    <row r="57" spans="1:2" x14ac:dyDescent="0.25">
      <c r="A57" s="130" t="s">
        <v>448</v>
      </c>
      <c r="B57" s="132">
        <v>65662989.865000002</v>
      </c>
    </row>
    <row r="58" spans="1:2" x14ac:dyDescent="0.25">
      <c r="A58" s="130" t="s">
        <v>449</v>
      </c>
      <c r="B58" s="132">
        <v>4700000000</v>
      </c>
    </row>
    <row r="59" spans="1:2" x14ac:dyDescent="0.25">
      <c r="A59" s="130" t="s">
        <v>450</v>
      </c>
      <c r="B59" s="132">
        <v>806383609.1244998</v>
      </c>
    </row>
    <row r="60" spans="1:2" x14ac:dyDescent="0.25">
      <c r="A60" s="130" t="s">
        <v>451</v>
      </c>
      <c r="B60" s="132">
        <v>513644090.65199995</v>
      </c>
    </row>
    <row r="61" spans="1:2" x14ac:dyDescent="0.25">
      <c r="A61" s="130" t="s">
        <v>452</v>
      </c>
      <c r="B61" s="132">
        <v>186385735860.77698</v>
      </c>
    </row>
    <row r="62" spans="1:2" x14ac:dyDescent="0.25">
      <c r="A62" s="130" t="s">
        <v>453</v>
      </c>
      <c r="B62" s="132">
        <v>1001576131.446</v>
      </c>
    </row>
    <row r="63" spans="1:2" x14ac:dyDescent="0.25">
      <c r="A63" s="130" t="s">
        <v>454</v>
      </c>
      <c r="B63" s="132">
        <v>76828211.899999991</v>
      </c>
    </row>
    <row r="64" spans="1:2" x14ac:dyDescent="0.25">
      <c r="A64" s="130" t="s">
        <v>559</v>
      </c>
      <c r="B64" s="132">
        <v>2500000000</v>
      </c>
    </row>
    <row r="65" spans="1:2" x14ac:dyDescent="0.25">
      <c r="A65" s="130" t="s">
        <v>560</v>
      </c>
      <c r="B65" s="132">
        <v>1877902913.5404997</v>
      </c>
    </row>
    <row r="66" spans="1:2" x14ac:dyDescent="0.25">
      <c r="A66" s="129" t="s">
        <v>20</v>
      </c>
      <c r="B66" s="133">
        <f>SUM(B67:B72)</f>
        <v>41681722860.04425</v>
      </c>
    </row>
    <row r="67" spans="1:2" x14ac:dyDescent="0.25">
      <c r="A67" s="130" t="s">
        <v>456</v>
      </c>
      <c r="B67" s="132">
        <v>485609498.48015004</v>
      </c>
    </row>
    <row r="68" spans="1:2" x14ac:dyDescent="0.25">
      <c r="A68" s="130" t="s">
        <v>457</v>
      </c>
      <c r="B68" s="132">
        <v>805722505.75849974</v>
      </c>
    </row>
    <row r="69" spans="1:2" x14ac:dyDescent="0.25">
      <c r="A69" s="130" t="s">
        <v>458</v>
      </c>
      <c r="B69" s="132">
        <v>961017353.39499998</v>
      </c>
    </row>
    <row r="70" spans="1:2" x14ac:dyDescent="0.25">
      <c r="A70" s="130" t="s">
        <v>459</v>
      </c>
      <c r="B70" s="132">
        <v>7638888222.3959999</v>
      </c>
    </row>
    <row r="71" spans="1:2" x14ac:dyDescent="0.25">
      <c r="A71" s="130" t="s">
        <v>460</v>
      </c>
      <c r="B71" s="132">
        <v>8283246696.2080002</v>
      </c>
    </row>
    <row r="72" spans="1:2" x14ac:dyDescent="0.25">
      <c r="A72" s="130" t="s">
        <v>461</v>
      </c>
      <c r="B72" s="132">
        <v>23507238583.806599</v>
      </c>
    </row>
    <row r="73" spans="1:2" x14ac:dyDescent="0.25">
      <c r="A73" s="129" t="s">
        <v>29</v>
      </c>
      <c r="B73" s="133">
        <f>B74</f>
        <v>34540272553.274399</v>
      </c>
    </row>
    <row r="74" spans="1:2" x14ac:dyDescent="0.25">
      <c r="A74" s="130" t="s">
        <v>455</v>
      </c>
      <c r="B74" s="132">
        <v>34540272553.274399</v>
      </c>
    </row>
    <row r="75" spans="1:2" x14ac:dyDescent="0.25">
      <c r="A75" s="129" t="s">
        <v>30</v>
      </c>
      <c r="B75" s="133">
        <f>SUM(B76:B80)</f>
        <v>28967681985.509655</v>
      </c>
    </row>
    <row r="76" spans="1:2" x14ac:dyDescent="0.25">
      <c r="A76" s="130" t="s">
        <v>474</v>
      </c>
      <c r="B76" s="132">
        <v>7259603623.500102</v>
      </c>
    </row>
    <row r="77" spans="1:2" x14ac:dyDescent="0.25">
      <c r="A77" s="130" t="s">
        <v>475</v>
      </c>
      <c r="B77" s="132">
        <v>12408137267.959999</v>
      </c>
    </row>
    <row r="78" spans="1:2" x14ac:dyDescent="0.25">
      <c r="A78" s="130" t="s">
        <v>476</v>
      </c>
      <c r="B78" s="132">
        <v>1745738057.1837499</v>
      </c>
    </row>
    <row r="79" spans="1:2" x14ac:dyDescent="0.25">
      <c r="A79" s="130" t="s">
        <v>477</v>
      </c>
      <c r="B79" s="132">
        <v>1025231553.9378499</v>
      </c>
    </row>
    <row r="80" spans="1:2" x14ac:dyDescent="0.25">
      <c r="A80" s="130" t="s">
        <v>478</v>
      </c>
      <c r="B80" s="132">
        <v>6528971482.9279509</v>
      </c>
    </row>
    <row r="81" spans="1:2" x14ac:dyDescent="0.25">
      <c r="A81" s="129" t="s">
        <v>25</v>
      </c>
      <c r="B81" s="133">
        <f>SUM(B82:B93)</f>
        <v>28028525012.626572</v>
      </c>
    </row>
    <row r="82" spans="1:2" x14ac:dyDescent="0.25">
      <c r="A82" s="130" t="s">
        <v>462</v>
      </c>
      <c r="B82" s="132">
        <v>5211769318.3270016</v>
      </c>
    </row>
    <row r="83" spans="1:2" x14ac:dyDescent="0.25">
      <c r="A83" s="130" t="s">
        <v>463</v>
      </c>
      <c r="B83" s="132">
        <v>6241851933.6084995</v>
      </c>
    </row>
    <row r="84" spans="1:2" x14ac:dyDescent="0.25">
      <c r="A84" s="130" t="s">
        <v>464</v>
      </c>
      <c r="B84" s="132">
        <v>348616690.16899997</v>
      </c>
    </row>
    <row r="85" spans="1:2" x14ac:dyDescent="0.25">
      <c r="A85" s="130" t="s">
        <v>465</v>
      </c>
      <c r="B85" s="132">
        <v>870998927.1335001</v>
      </c>
    </row>
    <row r="86" spans="1:2" x14ac:dyDescent="0.25">
      <c r="A86" s="130" t="s">
        <v>466</v>
      </c>
      <c r="B86" s="132">
        <v>4512018530.3765011</v>
      </c>
    </row>
    <row r="87" spans="1:2" x14ac:dyDescent="0.25">
      <c r="A87" s="130" t="s">
        <v>467</v>
      </c>
      <c r="B87" s="132">
        <v>683827139.79359913</v>
      </c>
    </row>
    <row r="88" spans="1:2" x14ac:dyDescent="0.25">
      <c r="A88" s="130" t="s">
        <v>468</v>
      </c>
      <c r="B88" s="132">
        <v>445033883.83850002</v>
      </c>
    </row>
    <row r="89" spans="1:2" x14ac:dyDescent="0.25">
      <c r="A89" s="130" t="s">
        <v>469</v>
      </c>
      <c r="B89" s="132">
        <v>650673573.93549991</v>
      </c>
    </row>
    <row r="90" spans="1:2" x14ac:dyDescent="0.25">
      <c r="A90" s="130" t="s">
        <v>470</v>
      </c>
      <c r="B90" s="132">
        <v>685191087.65699995</v>
      </c>
    </row>
    <row r="91" spans="1:2" x14ac:dyDescent="0.25">
      <c r="A91" s="130" t="s">
        <v>471</v>
      </c>
      <c r="B91" s="132">
        <v>1256712621.4370003</v>
      </c>
    </row>
    <row r="92" spans="1:2" x14ac:dyDescent="0.25">
      <c r="A92" s="130" t="s">
        <v>472</v>
      </c>
      <c r="B92" s="132">
        <v>436689496.70066661</v>
      </c>
    </row>
    <row r="93" spans="1:2" x14ac:dyDescent="0.25">
      <c r="A93" s="130" t="s">
        <v>473</v>
      </c>
      <c r="B93" s="132">
        <v>6685141809.6498003</v>
      </c>
    </row>
    <row r="94" spans="1:2" x14ac:dyDescent="0.25">
      <c r="A94" s="129" t="s">
        <v>32</v>
      </c>
      <c r="B94" s="133">
        <f>SUM(B95:B96)</f>
        <v>7895779119.0354996</v>
      </c>
    </row>
    <row r="95" spans="1:2" x14ac:dyDescent="0.25">
      <c r="A95" s="130" t="s">
        <v>493</v>
      </c>
      <c r="B95" s="132">
        <v>1239199806.12725</v>
      </c>
    </row>
    <row r="96" spans="1:2" x14ac:dyDescent="0.25">
      <c r="A96" s="130" t="s">
        <v>494</v>
      </c>
      <c r="B96" s="132">
        <v>6656579312.9082499</v>
      </c>
    </row>
    <row r="97" spans="1:2" x14ac:dyDescent="0.25">
      <c r="A97" s="129" t="s">
        <v>21</v>
      </c>
      <c r="B97" s="133">
        <f>SUM(B98:B101)</f>
        <v>12904250031.337599</v>
      </c>
    </row>
    <row r="98" spans="1:2" x14ac:dyDescent="0.25">
      <c r="A98" s="130" t="s">
        <v>479</v>
      </c>
      <c r="B98" s="132">
        <v>7018143321.5160007</v>
      </c>
    </row>
    <row r="99" spans="1:2" x14ac:dyDescent="0.25">
      <c r="A99" s="130" t="s">
        <v>480</v>
      </c>
      <c r="B99" s="132">
        <v>3529087331.1999998</v>
      </c>
    </row>
    <row r="100" spans="1:2" x14ac:dyDescent="0.25">
      <c r="A100" s="130" t="s">
        <v>481</v>
      </c>
      <c r="B100" s="132">
        <v>10180390</v>
      </c>
    </row>
    <row r="101" spans="1:2" x14ac:dyDescent="0.25">
      <c r="A101" s="130" t="s">
        <v>482</v>
      </c>
      <c r="B101" s="132">
        <v>2346838988.6215997</v>
      </c>
    </row>
    <row r="102" spans="1:2" x14ac:dyDescent="0.25">
      <c r="A102" s="129" t="s">
        <v>28</v>
      </c>
      <c r="B102" s="133">
        <f>B103</f>
        <v>5000000000.8715</v>
      </c>
    </row>
    <row r="103" spans="1:2" x14ac:dyDescent="0.25">
      <c r="A103" s="130" t="s">
        <v>489</v>
      </c>
      <c r="B103" s="132">
        <v>5000000000.8715</v>
      </c>
    </row>
    <row r="104" spans="1:2" x14ac:dyDescent="0.25">
      <c r="A104" s="129" t="s">
        <v>27</v>
      </c>
      <c r="B104" s="133">
        <f>SUM(B105:B106)</f>
        <v>10135871990.999245</v>
      </c>
    </row>
    <row r="105" spans="1:2" x14ac:dyDescent="0.25">
      <c r="A105" s="130" t="s">
        <v>483</v>
      </c>
      <c r="B105" s="132">
        <v>10035354182.218744</v>
      </c>
    </row>
    <row r="106" spans="1:2" x14ac:dyDescent="0.25">
      <c r="A106" s="130" t="s">
        <v>484</v>
      </c>
      <c r="B106" s="132">
        <v>100517808.78049999</v>
      </c>
    </row>
    <row r="107" spans="1:2" x14ac:dyDescent="0.25">
      <c r="A107" s="129" t="s">
        <v>24</v>
      </c>
      <c r="B107" s="133">
        <f>SUM(B108:B110)</f>
        <v>3610721750.2900505</v>
      </c>
    </row>
    <row r="108" spans="1:2" x14ac:dyDescent="0.25">
      <c r="A108" s="130" t="s">
        <v>486</v>
      </c>
      <c r="B108" s="132">
        <v>905070095.32500017</v>
      </c>
    </row>
    <row r="109" spans="1:2" x14ac:dyDescent="0.25">
      <c r="A109" s="130" t="s">
        <v>488</v>
      </c>
      <c r="B109" s="132">
        <v>435044529.76600015</v>
      </c>
    </row>
    <row r="110" spans="1:2" x14ac:dyDescent="0.25">
      <c r="A110" s="130" t="s">
        <v>487</v>
      </c>
      <c r="B110" s="132">
        <v>2270607125.1990499</v>
      </c>
    </row>
    <row r="111" spans="1:2" x14ac:dyDescent="0.25">
      <c r="A111" s="129" t="s">
        <v>22</v>
      </c>
      <c r="B111" s="133">
        <f>B112</f>
        <v>993360565.34770024</v>
      </c>
    </row>
    <row r="112" spans="1:2" x14ac:dyDescent="0.25">
      <c r="A112" s="130" t="s">
        <v>490</v>
      </c>
      <c r="B112" s="132">
        <v>993360565.34770024</v>
      </c>
    </row>
    <row r="113" spans="1:2" x14ac:dyDescent="0.25">
      <c r="A113" s="129" t="s">
        <v>23</v>
      </c>
      <c r="B113" s="133">
        <f>B114</f>
        <v>1544630082.4618497</v>
      </c>
    </row>
    <row r="114" spans="1:2" x14ac:dyDescent="0.25">
      <c r="A114" s="130" t="s">
        <v>491</v>
      </c>
      <c r="B114" s="132">
        <v>1544630082.4618497</v>
      </c>
    </row>
    <row r="115" spans="1:2" x14ac:dyDescent="0.25">
      <c r="A115" s="129" t="s">
        <v>26</v>
      </c>
      <c r="B115" s="133">
        <f>B116</f>
        <v>163230975.04999995</v>
      </c>
    </row>
    <row r="116" spans="1:2" x14ac:dyDescent="0.25">
      <c r="A116" s="130" t="s">
        <v>492</v>
      </c>
      <c r="B116" s="132">
        <v>163230975.04999995</v>
      </c>
    </row>
    <row r="117" spans="1:2" x14ac:dyDescent="0.25">
      <c r="A117" s="129" t="s">
        <v>31</v>
      </c>
      <c r="B117" s="133">
        <f>B118</f>
        <v>555000000</v>
      </c>
    </row>
    <row r="118" spans="1:2" x14ac:dyDescent="0.25">
      <c r="A118" s="130" t="s">
        <v>485</v>
      </c>
      <c r="B118" s="132">
        <v>555000000</v>
      </c>
    </row>
    <row r="119" spans="1:2" x14ac:dyDescent="0.25">
      <c r="A119" s="111" t="s">
        <v>33</v>
      </c>
      <c r="B119" s="118">
        <f>B120+B123</f>
        <v>46600930482</v>
      </c>
    </row>
    <row r="120" spans="1:2" x14ac:dyDescent="0.25">
      <c r="A120" s="112" t="s">
        <v>34</v>
      </c>
      <c r="B120" s="120">
        <f>B121+B122</f>
        <v>42414000000</v>
      </c>
    </row>
    <row r="121" spans="1:2" x14ac:dyDescent="0.25">
      <c r="A121" s="114" t="s">
        <v>495</v>
      </c>
      <c r="B121" s="117">
        <v>39802000000</v>
      </c>
    </row>
    <row r="122" spans="1:2" x14ac:dyDescent="0.25">
      <c r="A122" s="114" t="s">
        <v>496</v>
      </c>
      <c r="B122" s="124">
        <v>2612000000</v>
      </c>
    </row>
    <row r="123" spans="1:2" x14ac:dyDescent="0.25">
      <c r="A123" s="112" t="s">
        <v>35</v>
      </c>
      <c r="B123" s="120">
        <f>SUM(B124:B128)</f>
        <v>4186930482</v>
      </c>
    </row>
    <row r="124" spans="1:2" x14ac:dyDescent="0.25">
      <c r="A124" s="114" t="s">
        <v>497</v>
      </c>
      <c r="B124" s="123">
        <v>120000000</v>
      </c>
    </row>
    <row r="125" spans="1:2" x14ac:dyDescent="0.25">
      <c r="A125" s="114" t="s">
        <v>498</v>
      </c>
      <c r="B125" s="123">
        <v>3594550482</v>
      </c>
    </row>
    <row r="126" spans="1:2" x14ac:dyDescent="0.25">
      <c r="A126" s="113" t="s">
        <v>499</v>
      </c>
      <c r="B126" s="126">
        <v>332316000</v>
      </c>
    </row>
    <row r="127" spans="1:2" x14ac:dyDescent="0.25">
      <c r="A127" s="114" t="s">
        <v>500</v>
      </c>
      <c r="B127" s="123">
        <v>133224000</v>
      </c>
    </row>
    <row r="128" spans="1:2" x14ac:dyDescent="0.25">
      <c r="A128" s="113" t="s">
        <v>561</v>
      </c>
      <c r="B128" s="123">
        <v>6840000</v>
      </c>
    </row>
    <row r="129" spans="1:4" x14ac:dyDescent="0.25">
      <c r="A129" s="111" t="s">
        <v>36</v>
      </c>
      <c r="B129" s="118">
        <f>B130+B132+B134</f>
        <v>2025000000</v>
      </c>
    </row>
    <row r="130" spans="1:4" x14ac:dyDescent="0.25">
      <c r="A130" s="112" t="s">
        <v>39</v>
      </c>
      <c r="B130" s="116">
        <f>B131</f>
        <v>1500000000</v>
      </c>
    </row>
    <row r="131" spans="1:4" x14ac:dyDescent="0.25">
      <c r="A131" s="114" t="s">
        <v>501</v>
      </c>
      <c r="B131" s="119">
        <v>1500000000</v>
      </c>
    </row>
    <row r="132" spans="1:4" x14ac:dyDescent="0.25">
      <c r="A132" s="112" t="s">
        <v>37</v>
      </c>
      <c r="B132" s="116">
        <f>B133</f>
        <v>275000000</v>
      </c>
    </row>
    <row r="133" spans="1:4" x14ac:dyDescent="0.25">
      <c r="A133" s="113" t="s">
        <v>502</v>
      </c>
      <c r="B133" s="123">
        <v>275000000</v>
      </c>
    </row>
    <row r="134" spans="1:4" x14ac:dyDescent="0.25">
      <c r="A134" s="112" t="s">
        <v>38</v>
      </c>
      <c r="B134" s="116">
        <f>B135</f>
        <v>250000000</v>
      </c>
    </row>
    <row r="135" spans="1:4" x14ac:dyDescent="0.25">
      <c r="A135" s="113" t="s">
        <v>503</v>
      </c>
      <c r="B135" s="125">
        <v>250000000</v>
      </c>
    </row>
    <row r="136" spans="1:4" x14ac:dyDescent="0.25">
      <c r="A136" s="130"/>
      <c r="B136" s="127"/>
    </row>
    <row r="137" spans="1:4" x14ac:dyDescent="0.25">
      <c r="A137" s="109" t="s">
        <v>40</v>
      </c>
      <c r="B137" s="236">
        <v>0</v>
      </c>
      <c r="D137" s="121"/>
    </row>
    <row r="138" spans="1:4" x14ac:dyDescent="0.25">
      <c r="A138" s="109" t="s">
        <v>368</v>
      </c>
      <c r="B138" s="189">
        <v>3998309085.4799805</v>
      </c>
      <c r="D138" s="121"/>
    </row>
    <row r="139" spans="1:4" x14ac:dyDescent="0.25">
      <c r="A139" s="109" t="s">
        <v>369</v>
      </c>
      <c r="B139" s="190">
        <f>B137+B138</f>
        <v>3998309085.4799805</v>
      </c>
      <c r="D139" s="121"/>
    </row>
    <row r="140" spans="1:4" x14ac:dyDescent="0.25">
      <c r="A140" s="109" t="s">
        <v>41</v>
      </c>
      <c r="B140" s="189">
        <f>B119-B129</f>
        <v>44575930482</v>
      </c>
      <c r="D140" s="106"/>
    </row>
    <row r="141" spans="1:4" x14ac:dyDescent="0.25">
      <c r="A141" s="1"/>
    </row>
    <row r="142" spans="1:4" x14ac:dyDescent="0.25">
      <c r="A142" s="109" t="s">
        <v>42</v>
      </c>
      <c r="B142" s="191">
        <f>B139+B140</f>
        <v>48574239567.47998</v>
      </c>
      <c r="D142" s="121"/>
    </row>
    <row r="145" spans="1:4" x14ac:dyDescent="0.25">
      <c r="A145" s="109" t="s">
        <v>170</v>
      </c>
      <c r="B145" s="189">
        <f>B120-B130</f>
        <v>40914000000</v>
      </c>
      <c r="D145" s="122"/>
    </row>
    <row r="146" spans="1:4" x14ac:dyDescent="0.25">
      <c r="A146" s="109" t="s">
        <v>171</v>
      </c>
      <c r="B146" s="189">
        <f>B123-B132-B134</f>
        <v>3661930482</v>
      </c>
      <c r="D146" s="122"/>
    </row>
    <row r="147" spans="1:4" x14ac:dyDescent="0.25">
      <c r="A147" s="109" t="s">
        <v>172</v>
      </c>
      <c r="B147" s="189">
        <f>SUM(B145:B146)</f>
        <v>44575930482</v>
      </c>
      <c r="D147" s="122"/>
    </row>
  </sheetData>
  <mergeCells count="6">
    <mergeCell ref="A7:C7"/>
    <mergeCell ref="A2:B2"/>
    <mergeCell ref="A3:B3"/>
    <mergeCell ref="A4:B4"/>
    <mergeCell ref="A5:B5"/>
    <mergeCell ref="A6:B6"/>
  </mergeCells>
  <hyperlinks>
    <hyperlink ref="A1" location="Contenido!A1" display="Volver al menú"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31"/>
  <sheetViews>
    <sheetView showGridLines="0" zoomScaleNormal="100" workbookViewId="0">
      <pane xSplit="2" ySplit="8" topLeftCell="C36" activePane="bottomRight" state="frozen"/>
      <selection pane="topRight" activeCell="C1" sqref="C1"/>
      <selection pane="bottomLeft" activeCell="A9" sqref="A9"/>
      <selection pane="bottomRight"/>
    </sheetView>
  </sheetViews>
  <sheetFormatPr baseColWidth="10" defaultRowHeight="11.25" x14ac:dyDescent="0.2"/>
  <cols>
    <col min="1" max="1" width="2.7109375" style="66" customWidth="1"/>
    <col min="2" max="2" width="83.42578125" style="66" customWidth="1"/>
    <col min="3" max="3" width="14" style="67" customWidth="1"/>
    <col min="4" max="4" width="15.28515625" style="103" bestFit="1" customWidth="1"/>
    <col min="5" max="5" width="10.5703125" style="68" bestFit="1" customWidth="1"/>
    <col min="6" max="6" width="15.28515625" style="103" bestFit="1" customWidth="1"/>
    <col min="7" max="7" width="14.5703125" style="70" customWidth="1"/>
    <col min="8" max="8" width="19.42578125" style="71" customWidth="1"/>
    <col min="9" max="9" width="17.42578125" style="67" bestFit="1" customWidth="1"/>
    <col min="10" max="10" width="19.85546875" style="67" customWidth="1"/>
    <col min="11" max="11" width="23.42578125" style="67" customWidth="1"/>
    <col min="12" max="12" width="16.140625" style="67" customWidth="1"/>
    <col min="13" max="13" width="22.140625" style="67" customWidth="1"/>
    <col min="14" max="14" width="15.85546875" style="67" customWidth="1"/>
    <col min="15" max="15" width="23.85546875" style="67" customWidth="1"/>
    <col min="16" max="16" width="24.28515625" style="67" customWidth="1"/>
    <col min="17" max="17" width="19.85546875" style="67" customWidth="1"/>
    <col min="18" max="18" width="19.28515625" style="67" customWidth="1"/>
    <col min="19" max="19" width="22.28515625" style="67" customWidth="1"/>
    <col min="20" max="20" width="19.7109375" style="67" customWidth="1"/>
    <col min="21" max="21" width="18.7109375" style="67" customWidth="1"/>
    <col min="22" max="22" width="17.28515625" style="67" customWidth="1"/>
    <col min="23" max="16384" width="11.42578125" style="67"/>
  </cols>
  <sheetData>
    <row r="1" spans="1:27" s="66" customFormat="1" ht="12" customHeight="1" x14ac:dyDescent="0.25">
      <c r="A1" s="58" t="s">
        <v>663</v>
      </c>
      <c r="C1" s="67"/>
      <c r="D1" s="69"/>
      <c r="E1" s="68"/>
      <c r="F1" s="69"/>
      <c r="G1" s="70"/>
      <c r="H1" s="71"/>
    </row>
    <row r="2" spans="1:27" s="66" customFormat="1" x14ac:dyDescent="0.2">
      <c r="C2" s="67"/>
      <c r="D2" s="69"/>
      <c r="E2" s="68"/>
      <c r="F2" s="69"/>
      <c r="G2" s="70"/>
      <c r="H2" s="71"/>
    </row>
    <row r="3" spans="1:27" s="66" customFormat="1" x14ac:dyDescent="0.2">
      <c r="B3" s="66" t="s">
        <v>43</v>
      </c>
      <c r="C3" s="67"/>
      <c r="D3" s="69"/>
      <c r="E3" s="68"/>
      <c r="F3" s="69"/>
      <c r="G3" s="70"/>
      <c r="H3" s="71"/>
    </row>
    <row r="4" spans="1:27" s="66" customFormat="1" x14ac:dyDescent="0.2">
      <c r="B4" s="66" t="s">
        <v>238</v>
      </c>
      <c r="C4" s="67"/>
      <c r="D4" s="72"/>
      <c r="E4" s="67"/>
      <c r="G4" s="69"/>
      <c r="H4" s="68"/>
      <c r="I4" s="69"/>
      <c r="J4" s="70"/>
      <c r="K4" s="73"/>
      <c r="L4" s="65"/>
    </row>
    <row r="5" spans="1:27" s="66" customFormat="1" x14ac:dyDescent="0.2">
      <c r="B5" s="8" t="s">
        <v>504</v>
      </c>
      <c r="C5" s="67"/>
      <c r="D5" s="69"/>
      <c r="E5" s="68"/>
      <c r="F5" s="69"/>
      <c r="G5" s="70"/>
      <c r="H5" s="71"/>
    </row>
    <row r="6" spans="1:27" s="66" customFormat="1" ht="12" thickBot="1" x14ac:dyDescent="0.25">
      <c r="B6" s="8"/>
      <c r="C6" s="67"/>
      <c r="D6" s="69"/>
      <c r="E6" s="68"/>
      <c r="F6" s="69"/>
      <c r="G6" s="70"/>
      <c r="H6" s="71"/>
    </row>
    <row r="7" spans="1:27" s="66" customFormat="1" ht="12" thickBot="1" x14ac:dyDescent="0.25">
      <c r="C7" s="67"/>
      <c r="D7" s="69"/>
      <c r="E7" s="68"/>
      <c r="F7" s="69"/>
      <c r="G7" s="70"/>
      <c r="H7" s="71"/>
      <c r="P7" s="67"/>
      <c r="Q7" s="74" t="s">
        <v>205</v>
      </c>
      <c r="R7" s="67"/>
      <c r="S7" s="67"/>
      <c r="T7" s="74" t="s">
        <v>205</v>
      </c>
      <c r="U7" s="67"/>
      <c r="V7" s="67"/>
    </row>
    <row r="8" spans="1:27" s="66" customFormat="1" ht="48.75" customHeight="1" thickBot="1" x14ac:dyDescent="0.25">
      <c r="B8" s="9" t="s">
        <v>45</v>
      </c>
      <c r="C8" s="10" t="s">
        <v>204</v>
      </c>
      <c r="D8" s="10" t="s">
        <v>371</v>
      </c>
      <c r="E8" s="10" t="s">
        <v>46</v>
      </c>
      <c r="F8" s="10" t="s">
        <v>505</v>
      </c>
      <c r="G8" s="10" t="s">
        <v>174</v>
      </c>
      <c r="H8" s="10" t="s">
        <v>175</v>
      </c>
      <c r="I8" s="10" t="s">
        <v>176</v>
      </c>
      <c r="J8" s="10" t="s">
        <v>177</v>
      </c>
      <c r="K8" s="10" t="s">
        <v>530</v>
      </c>
      <c r="L8" s="10" t="s">
        <v>529</v>
      </c>
      <c r="M8" s="10" t="s">
        <v>531</v>
      </c>
      <c r="N8" s="10" t="s">
        <v>532</v>
      </c>
      <c r="O8" s="10" t="s">
        <v>533</v>
      </c>
      <c r="P8" s="10" t="s">
        <v>206</v>
      </c>
      <c r="Q8" s="196">
        <v>4.58E-2</v>
      </c>
      <c r="R8" s="10" t="s">
        <v>207</v>
      </c>
      <c r="S8" s="10" t="s">
        <v>208</v>
      </c>
      <c r="T8" s="196">
        <v>4.58E-2</v>
      </c>
      <c r="U8" s="10" t="s">
        <v>321</v>
      </c>
      <c r="V8" s="11" t="s">
        <v>209</v>
      </c>
    </row>
    <row r="9" spans="1:27" s="66" customFormat="1" ht="12" thickBot="1" x14ac:dyDescent="0.25">
      <c r="B9" s="192" t="s">
        <v>225</v>
      </c>
      <c r="C9" s="75"/>
      <c r="D9" s="75"/>
      <c r="E9" s="75"/>
      <c r="F9" s="75"/>
      <c r="G9" s="75"/>
      <c r="H9" s="75"/>
      <c r="I9" s="75"/>
      <c r="J9" s="75"/>
      <c r="K9" s="75"/>
      <c r="L9" s="75"/>
      <c r="M9" s="75"/>
      <c r="N9" s="75"/>
      <c r="O9" s="75"/>
      <c r="P9" s="75"/>
      <c r="Q9" s="75"/>
      <c r="R9" s="75"/>
      <c r="S9" s="75"/>
      <c r="T9" s="75"/>
      <c r="U9" s="75"/>
      <c r="V9" s="76"/>
    </row>
    <row r="10" spans="1:27" x14ac:dyDescent="0.2">
      <c r="B10" s="12" t="s">
        <v>210</v>
      </c>
      <c r="C10" s="13"/>
      <c r="D10" s="14"/>
      <c r="E10" s="15"/>
      <c r="F10" s="16"/>
      <c r="G10" s="17"/>
      <c r="H10" s="18"/>
      <c r="I10" s="17"/>
      <c r="J10" s="18"/>
      <c r="K10" s="19"/>
      <c r="L10" s="19"/>
      <c r="M10" s="19"/>
      <c r="N10" s="19"/>
      <c r="O10" s="19"/>
      <c r="P10" s="2"/>
      <c r="Q10" s="3"/>
      <c r="R10" s="3"/>
      <c r="S10" s="3"/>
      <c r="T10" s="3"/>
      <c r="U10" s="3"/>
      <c r="V10" s="4"/>
    </row>
    <row r="11" spans="1:27" x14ac:dyDescent="0.2">
      <c r="B11" s="20" t="s">
        <v>562</v>
      </c>
      <c r="C11" s="63">
        <v>176</v>
      </c>
      <c r="D11" s="22">
        <v>13517000</v>
      </c>
      <c r="E11" s="32">
        <v>5.5E-2</v>
      </c>
      <c r="F11" s="22">
        <f>+ROUND((D11*E11)+D11,-3)</f>
        <v>14260000</v>
      </c>
      <c r="G11" s="32">
        <v>1.4999999999999999E-2</v>
      </c>
      <c r="H11" s="22">
        <f>+(F11*G11)+F11</f>
        <v>14473900</v>
      </c>
      <c r="I11" s="32">
        <v>0.02</v>
      </c>
      <c r="J11" s="22">
        <f>+(F11*I11)+F11</f>
        <v>14545200</v>
      </c>
      <c r="K11" s="63">
        <v>859</v>
      </c>
      <c r="L11" s="59">
        <v>11601743079</v>
      </c>
      <c r="M11" s="63">
        <v>867</v>
      </c>
      <c r="N11" s="59">
        <v>11630849980</v>
      </c>
      <c r="O11" s="59">
        <f>L11+N11</f>
        <v>23232593059</v>
      </c>
      <c r="P11" s="59">
        <f>L11/(1+E11)</f>
        <v>10996912871.090048</v>
      </c>
      <c r="Q11" s="59">
        <f>(P11*$Q$8)+P11</f>
        <v>11500571480.585972</v>
      </c>
      <c r="R11" s="59">
        <f>+L11-Q11</f>
        <v>101171598.41402817</v>
      </c>
      <c r="S11" s="59">
        <f>N11/(1+E11)</f>
        <v>11024502350.710901</v>
      </c>
      <c r="T11" s="59">
        <f>(S11*$T$8)+S11</f>
        <v>11529424558.373461</v>
      </c>
      <c r="U11" s="59">
        <f>N11-T11</f>
        <v>101425421.62653923</v>
      </c>
      <c r="V11" s="60">
        <f>R11+U11</f>
        <v>202597020.0405674</v>
      </c>
      <c r="X11" s="107"/>
      <c r="Y11" s="107"/>
      <c r="Z11" s="108"/>
      <c r="AA11" s="108"/>
    </row>
    <row r="12" spans="1:27" x14ac:dyDescent="0.2">
      <c r="B12" s="20" t="s">
        <v>47</v>
      </c>
      <c r="C12" s="63">
        <v>166</v>
      </c>
      <c r="D12" s="22">
        <v>13517000</v>
      </c>
      <c r="E12" s="32">
        <v>5.5E-2</v>
      </c>
      <c r="F12" s="22">
        <f>+ROUND((D12*E12)+D12,-3)</f>
        <v>14260000</v>
      </c>
      <c r="G12" s="32">
        <v>1.4999999999999999E-2</v>
      </c>
      <c r="H12" s="22">
        <f t="shared" ref="H12" si="0">+(F12*G12)+F12</f>
        <v>14473900</v>
      </c>
      <c r="I12" s="32">
        <v>0.02</v>
      </c>
      <c r="J12" s="22">
        <f t="shared" ref="J12" si="1">+(F12*I12)+F12</f>
        <v>14545200</v>
      </c>
      <c r="K12" s="63">
        <v>543</v>
      </c>
      <c r="L12" s="59">
        <v>6616659191</v>
      </c>
      <c r="M12" s="63">
        <v>553</v>
      </c>
      <c r="N12" s="59">
        <v>6756577665</v>
      </c>
      <c r="O12" s="59">
        <f>L12+N12</f>
        <v>13373236856</v>
      </c>
      <c r="P12" s="59">
        <f>L12/(1+E12)</f>
        <v>6271714872.9857826</v>
      </c>
      <c r="Q12" s="59">
        <f>(P12*$Q$8)+P12</f>
        <v>6558959414.1685314</v>
      </c>
      <c r="R12" s="59">
        <f>+L12-Q12</f>
        <v>57699776.831468582</v>
      </c>
      <c r="S12" s="59">
        <f>N12/(1+E12)</f>
        <v>6404339018.957346</v>
      </c>
      <c r="T12" s="59">
        <f>(S12*$T$8)+S12</f>
        <v>6697657746.0255928</v>
      </c>
      <c r="U12" s="59">
        <f>N12-T12</f>
        <v>58919918.974407196</v>
      </c>
      <c r="V12" s="60">
        <f>R12+U12</f>
        <v>116619695.80587578</v>
      </c>
      <c r="X12" s="107"/>
      <c r="Y12" s="107"/>
      <c r="Z12" s="108"/>
      <c r="AA12" s="108"/>
    </row>
    <row r="13" spans="1:27" x14ac:dyDescent="0.2">
      <c r="B13" s="24" t="s">
        <v>211</v>
      </c>
      <c r="C13" s="63"/>
      <c r="D13" s="22"/>
      <c r="E13" s="23"/>
      <c r="F13" s="25"/>
      <c r="G13" s="23"/>
      <c r="H13" s="22"/>
      <c r="I13" s="23"/>
      <c r="J13" s="22"/>
      <c r="K13" s="21"/>
      <c r="L13" s="223"/>
      <c r="M13" s="63"/>
      <c r="N13" s="223"/>
      <c r="O13" s="61"/>
      <c r="P13" s="61"/>
      <c r="Q13" s="61"/>
      <c r="R13" s="61"/>
      <c r="S13" s="61"/>
      <c r="T13" s="61"/>
      <c r="U13" s="61"/>
      <c r="V13" s="62"/>
      <c r="X13" s="107"/>
      <c r="Y13" s="107"/>
      <c r="Z13" s="108"/>
      <c r="AA13" s="108"/>
    </row>
    <row r="14" spans="1:27" x14ac:dyDescent="0.2">
      <c r="B14" s="20" t="s">
        <v>48</v>
      </c>
      <c r="C14" s="63">
        <v>144</v>
      </c>
      <c r="D14" s="22">
        <v>8847000</v>
      </c>
      <c r="E14" s="32">
        <v>5.5E-2</v>
      </c>
      <c r="F14" s="22">
        <f t="shared" ref="F14:F20" si="2">+ROUND((D14*E14)+D14,-3)</f>
        <v>9334000</v>
      </c>
      <c r="G14" s="32">
        <v>1.4999999999999999E-2</v>
      </c>
      <c r="H14" s="22">
        <f t="shared" ref="H14:H20" si="3">+(F14*G14)+F14</f>
        <v>9474010</v>
      </c>
      <c r="I14" s="32">
        <v>0.02</v>
      </c>
      <c r="J14" s="22">
        <f t="shared" ref="J14:J20" si="4">+(F14*I14)+F14</f>
        <v>9520680</v>
      </c>
      <c r="K14" s="63">
        <v>199</v>
      </c>
      <c r="L14" s="22">
        <v>1639707908</v>
      </c>
      <c r="M14" s="63">
        <v>183</v>
      </c>
      <c r="N14" s="59">
        <v>1417659680</v>
      </c>
      <c r="O14" s="59">
        <f t="shared" ref="O14:O20" si="5">L14+N14</f>
        <v>3057367588</v>
      </c>
      <c r="P14" s="59">
        <f t="shared" ref="P14:P20" si="6">L14/(1+E14)</f>
        <v>1554225505.2132702</v>
      </c>
      <c r="Q14" s="59">
        <f t="shared" ref="Q14:Q20" si="7">(P14*$Q$8)+P14</f>
        <v>1625409033.3520379</v>
      </c>
      <c r="R14" s="59">
        <f t="shared" ref="R14:R20" si="8">+L14-Q14</f>
        <v>14298874.647962093</v>
      </c>
      <c r="S14" s="59">
        <f t="shared" ref="S14:S20" si="9">N14/(1+E14)</f>
        <v>1343753251.1848342</v>
      </c>
      <c r="T14" s="59">
        <f t="shared" ref="T14:T20" si="10">(S14*$T$8)+S14</f>
        <v>1405297150.0890996</v>
      </c>
      <c r="U14" s="59">
        <f t="shared" ref="U14:U20" si="11">N14-T14</f>
        <v>12362529.910900354</v>
      </c>
      <c r="V14" s="60">
        <f t="shared" ref="V14:V20" si="12">R14+U14</f>
        <v>26661404.558862448</v>
      </c>
      <c r="X14" s="107"/>
      <c r="Y14" s="107"/>
      <c r="Z14" s="108"/>
      <c r="AA14" s="108"/>
    </row>
    <row r="15" spans="1:27" x14ac:dyDescent="0.2">
      <c r="B15" s="20" t="s">
        <v>563</v>
      </c>
      <c r="C15" s="63">
        <v>134</v>
      </c>
      <c r="D15" s="22">
        <v>10286000</v>
      </c>
      <c r="E15" s="32">
        <v>5.5E-2</v>
      </c>
      <c r="F15" s="22">
        <f t="shared" si="2"/>
        <v>10852000</v>
      </c>
      <c r="G15" s="32">
        <v>1.4999999999999999E-2</v>
      </c>
      <c r="H15" s="22">
        <f t="shared" ref="H15:H16" si="13">+(F15*G15)+F15</f>
        <v>11014780</v>
      </c>
      <c r="I15" s="32">
        <v>0.02</v>
      </c>
      <c r="J15" s="22">
        <f t="shared" ref="J15:J16" si="14">+(F15*I15)+F15</f>
        <v>11069040</v>
      </c>
      <c r="K15" s="63">
        <v>77</v>
      </c>
      <c r="L15" s="22">
        <v>857902417</v>
      </c>
      <c r="M15" s="63">
        <v>95</v>
      </c>
      <c r="N15" s="59">
        <v>1054022711</v>
      </c>
      <c r="O15" s="59">
        <f t="shared" si="5"/>
        <v>1911925128</v>
      </c>
      <c r="P15" s="59">
        <f t="shared" si="6"/>
        <v>813177646.44549763</v>
      </c>
      <c r="Q15" s="59">
        <f t="shared" si="7"/>
        <v>850421182.65270138</v>
      </c>
      <c r="R15" s="59">
        <f t="shared" si="8"/>
        <v>7481234.3472986221</v>
      </c>
      <c r="S15" s="59">
        <f t="shared" si="9"/>
        <v>999073659.71563983</v>
      </c>
      <c r="T15" s="59">
        <f t="shared" si="10"/>
        <v>1044831233.3306161</v>
      </c>
      <c r="U15" s="59">
        <f t="shared" si="11"/>
        <v>9191477.6693838835</v>
      </c>
      <c r="V15" s="60">
        <f t="shared" si="12"/>
        <v>16672712.016682506</v>
      </c>
      <c r="X15" s="107"/>
      <c r="Y15" s="107"/>
      <c r="Z15" s="108"/>
      <c r="AA15" s="108"/>
    </row>
    <row r="16" spans="1:27" x14ac:dyDescent="0.2">
      <c r="B16" s="20" t="s">
        <v>377</v>
      </c>
      <c r="C16" s="63">
        <v>148</v>
      </c>
      <c r="D16" s="22">
        <v>9466000</v>
      </c>
      <c r="E16" s="32">
        <v>5.5E-2</v>
      </c>
      <c r="F16" s="22">
        <f t="shared" si="2"/>
        <v>9987000</v>
      </c>
      <c r="G16" s="32">
        <v>1.4999999999999999E-2</v>
      </c>
      <c r="H16" s="22">
        <f t="shared" si="13"/>
        <v>10136805</v>
      </c>
      <c r="I16" s="32">
        <v>0.02</v>
      </c>
      <c r="J16" s="22">
        <f t="shared" si="14"/>
        <v>10186740</v>
      </c>
      <c r="K16" s="63">
        <v>92</v>
      </c>
      <c r="L16" s="22">
        <v>864949392</v>
      </c>
      <c r="M16" s="63">
        <v>113</v>
      </c>
      <c r="N16" s="59">
        <v>1057483911</v>
      </c>
      <c r="O16" s="59">
        <f t="shared" si="5"/>
        <v>1922433303</v>
      </c>
      <c r="P16" s="59">
        <f t="shared" si="6"/>
        <v>819857243.60189581</v>
      </c>
      <c r="Q16" s="59">
        <f t="shared" si="7"/>
        <v>857406705.35886264</v>
      </c>
      <c r="R16" s="59">
        <f t="shared" si="8"/>
        <v>7542686.6411373615</v>
      </c>
      <c r="S16" s="59">
        <f t="shared" si="9"/>
        <v>1002354418.0094787</v>
      </c>
      <c r="T16" s="59">
        <f t="shared" si="10"/>
        <v>1048262250.3543128</v>
      </c>
      <c r="U16" s="59">
        <f t="shared" si="11"/>
        <v>9221660.6456872225</v>
      </c>
      <c r="V16" s="60">
        <f t="shared" si="12"/>
        <v>16764347.286824584</v>
      </c>
      <c r="X16" s="107"/>
      <c r="Y16" s="107"/>
      <c r="Z16" s="108"/>
      <c r="AA16" s="108"/>
    </row>
    <row r="17" spans="2:27" x14ac:dyDescent="0.2">
      <c r="B17" s="20" t="s">
        <v>49</v>
      </c>
      <c r="C17" s="63">
        <v>171</v>
      </c>
      <c r="D17" s="22">
        <v>9466000</v>
      </c>
      <c r="E17" s="32">
        <v>5.5E-2</v>
      </c>
      <c r="F17" s="22">
        <f t="shared" si="2"/>
        <v>9987000</v>
      </c>
      <c r="G17" s="32">
        <v>1.4999999999999999E-2</v>
      </c>
      <c r="H17" s="22">
        <f t="shared" si="3"/>
        <v>10136805</v>
      </c>
      <c r="I17" s="32">
        <v>0.02</v>
      </c>
      <c r="J17" s="22">
        <f t="shared" si="4"/>
        <v>10186740</v>
      </c>
      <c r="K17" s="63">
        <v>227</v>
      </c>
      <c r="L17" s="22">
        <v>1873986853</v>
      </c>
      <c r="M17" s="63">
        <v>197</v>
      </c>
      <c r="N17" s="59">
        <v>1534546532</v>
      </c>
      <c r="O17" s="59">
        <f t="shared" si="5"/>
        <v>3408533385</v>
      </c>
      <c r="P17" s="59">
        <f t="shared" si="6"/>
        <v>1776290855.9241707</v>
      </c>
      <c r="Q17" s="59">
        <f t="shared" si="7"/>
        <v>1857644977.1254978</v>
      </c>
      <c r="R17" s="59">
        <f t="shared" si="8"/>
        <v>16341875.874502182</v>
      </c>
      <c r="S17" s="59">
        <f t="shared" si="9"/>
        <v>1454546475.8293841</v>
      </c>
      <c r="T17" s="59">
        <f t="shared" si="10"/>
        <v>1521164704.42237</v>
      </c>
      <c r="U17" s="59">
        <f t="shared" si="11"/>
        <v>13381827.577630043</v>
      </c>
      <c r="V17" s="60">
        <f t="shared" si="12"/>
        <v>29723703.452132225</v>
      </c>
      <c r="X17" s="107"/>
      <c r="Y17" s="107"/>
      <c r="Z17" s="108"/>
      <c r="AA17" s="108"/>
    </row>
    <row r="18" spans="2:27" x14ac:dyDescent="0.2">
      <c r="B18" s="20" t="s">
        <v>50</v>
      </c>
      <c r="C18" s="63">
        <v>180</v>
      </c>
      <c r="D18" s="22">
        <v>9466000</v>
      </c>
      <c r="E18" s="32">
        <v>5.5E-2</v>
      </c>
      <c r="F18" s="22">
        <f t="shared" si="2"/>
        <v>9987000</v>
      </c>
      <c r="G18" s="32">
        <v>1.4999999999999999E-2</v>
      </c>
      <c r="H18" s="22">
        <f t="shared" si="3"/>
        <v>10136805</v>
      </c>
      <c r="I18" s="32">
        <v>0.02</v>
      </c>
      <c r="J18" s="22">
        <f t="shared" si="4"/>
        <v>10186740</v>
      </c>
      <c r="K18" s="63">
        <v>355</v>
      </c>
      <c r="L18" s="22">
        <v>3374975414</v>
      </c>
      <c r="M18" s="63">
        <v>316</v>
      </c>
      <c r="N18" s="59">
        <v>2921109419</v>
      </c>
      <c r="O18" s="59">
        <f t="shared" si="5"/>
        <v>6296084833</v>
      </c>
      <c r="P18" s="59">
        <f t="shared" si="6"/>
        <v>3199028828.4360189</v>
      </c>
      <c r="Q18" s="59">
        <f t="shared" si="7"/>
        <v>3345544348.7783885</v>
      </c>
      <c r="R18" s="59">
        <f t="shared" si="8"/>
        <v>29431065.2216115</v>
      </c>
      <c r="S18" s="59">
        <f t="shared" si="9"/>
        <v>2768824093.8388629</v>
      </c>
      <c r="T18" s="59">
        <f t="shared" si="10"/>
        <v>2895636237.3366828</v>
      </c>
      <c r="U18" s="59">
        <f t="shared" si="11"/>
        <v>25473181.663317204</v>
      </c>
      <c r="V18" s="60">
        <f t="shared" si="12"/>
        <v>54904246.884928703</v>
      </c>
      <c r="X18" s="107"/>
      <c r="Y18" s="107"/>
      <c r="Z18" s="108"/>
      <c r="AA18" s="108"/>
    </row>
    <row r="19" spans="2:27" x14ac:dyDescent="0.2">
      <c r="B19" s="20" t="s">
        <v>51</v>
      </c>
      <c r="C19" s="63">
        <v>136</v>
      </c>
      <c r="D19" s="22">
        <v>9466000</v>
      </c>
      <c r="E19" s="32">
        <v>5.5E-2</v>
      </c>
      <c r="F19" s="22">
        <f t="shared" si="2"/>
        <v>9987000</v>
      </c>
      <c r="G19" s="32">
        <v>1.4999999999999999E-2</v>
      </c>
      <c r="H19" s="22">
        <f t="shared" si="3"/>
        <v>10136805</v>
      </c>
      <c r="I19" s="32">
        <v>0.02</v>
      </c>
      <c r="J19" s="22">
        <f t="shared" si="4"/>
        <v>10186740</v>
      </c>
      <c r="K19" s="63">
        <v>204</v>
      </c>
      <c r="L19" s="22">
        <v>1893179194</v>
      </c>
      <c r="M19" s="63">
        <v>154</v>
      </c>
      <c r="N19" s="59">
        <v>1312686876</v>
      </c>
      <c r="O19" s="59">
        <f t="shared" si="5"/>
        <v>3205866070</v>
      </c>
      <c r="P19" s="59">
        <f t="shared" si="6"/>
        <v>1794482648.3412323</v>
      </c>
      <c r="Q19" s="59">
        <f t="shared" si="7"/>
        <v>1876669953.6352608</v>
      </c>
      <c r="R19" s="59">
        <f t="shared" si="8"/>
        <v>16509240.36473918</v>
      </c>
      <c r="S19" s="59">
        <f t="shared" si="9"/>
        <v>1244252963.0331755</v>
      </c>
      <c r="T19" s="59">
        <f t="shared" si="10"/>
        <v>1301239748.7400949</v>
      </c>
      <c r="U19" s="59">
        <f t="shared" si="11"/>
        <v>11447127.2599051</v>
      </c>
      <c r="V19" s="60">
        <f t="shared" si="12"/>
        <v>27956367.624644279</v>
      </c>
      <c r="X19" s="107"/>
      <c r="Y19" s="107"/>
      <c r="Z19" s="108"/>
      <c r="AA19" s="108"/>
    </row>
    <row r="20" spans="2:27" x14ac:dyDescent="0.2">
      <c r="B20" s="20" t="s">
        <v>52</v>
      </c>
      <c r="C20" s="63">
        <v>144</v>
      </c>
      <c r="D20" s="22">
        <v>5631000</v>
      </c>
      <c r="E20" s="32">
        <v>5.5E-2</v>
      </c>
      <c r="F20" s="22">
        <f t="shared" si="2"/>
        <v>5941000</v>
      </c>
      <c r="G20" s="32">
        <v>1.4999999999999999E-2</v>
      </c>
      <c r="H20" s="22">
        <f t="shared" si="3"/>
        <v>6030115</v>
      </c>
      <c r="I20" s="32">
        <v>0.02</v>
      </c>
      <c r="J20" s="22">
        <f t="shared" si="4"/>
        <v>6059820</v>
      </c>
      <c r="K20" s="63">
        <v>123</v>
      </c>
      <c r="L20" s="22">
        <v>719583311</v>
      </c>
      <c r="M20" s="63">
        <v>115</v>
      </c>
      <c r="N20" s="59">
        <v>645524633</v>
      </c>
      <c r="O20" s="59">
        <f t="shared" si="5"/>
        <v>1365107944</v>
      </c>
      <c r="P20" s="59">
        <f t="shared" si="6"/>
        <v>682069489.09952605</v>
      </c>
      <c r="Q20" s="59">
        <f t="shared" si="7"/>
        <v>713308271.70028436</v>
      </c>
      <c r="R20" s="59">
        <f t="shared" si="8"/>
        <v>6275039.2997156382</v>
      </c>
      <c r="S20" s="59">
        <f t="shared" si="9"/>
        <v>611871690.04739344</v>
      </c>
      <c r="T20" s="59">
        <f t="shared" si="10"/>
        <v>639895413.45156407</v>
      </c>
      <c r="U20" s="59">
        <f t="shared" si="11"/>
        <v>5629219.5484359264</v>
      </c>
      <c r="V20" s="60">
        <f t="shared" si="12"/>
        <v>11904258.848151565</v>
      </c>
      <c r="X20" s="107"/>
      <c r="Y20" s="107"/>
      <c r="Z20" s="108"/>
      <c r="AA20" s="108"/>
    </row>
    <row r="21" spans="2:27" x14ac:dyDescent="0.2">
      <c r="B21" s="24" t="s">
        <v>212</v>
      </c>
      <c r="C21" s="63"/>
      <c r="D21" s="22"/>
      <c r="E21" s="23"/>
      <c r="F21" s="25"/>
      <c r="G21" s="23"/>
      <c r="H21" s="22"/>
      <c r="I21" s="23"/>
      <c r="J21" s="22"/>
      <c r="K21" s="63"/>
      <c r="L21" s="223"/>
      <c r="M21" s="63"/>
      <c r="N21" s="223"/>
      <c r="O21" s="64"/>
      <c r="P21" s="61"/>
      <c r="Q21" s="61"/>
      <c r="R21" s="61"/>
      <c r="S21" s="61"/>
      <c r="T21" s="61"/>
      <c r="U21" s="61"/>
      <c r="V21" s="62"/>
      <c r="X21" s="107"/>
      <c r="Y21" s="107"/>
      <c r="Z21" s="108"/>
      <c r="AA21" s="108"/>
    </row>
    <row r="22" spans="2:27" x14ac:dyDescent="0.2">
      <c r="B22" s="20" t="s">
        <v>352</v>
      </c>
      <c r="C22" s="63">
        <v>160</v>
      </c>
      <c r="D22" s="22">
        <v>12538000</v>
      </c>
      <c r="E22" s="32">
        <v>5.5E-2</v>
      </c>
      <c r="F22" s="22">
        <f t="shared" ref="F22:F30" si="15">+ROUND((D22*E22)+D22,-3)</f>
        <v>13228000</v>
      </c>
      <c r="G22" s="32">
        <v>1.4999999999999999E-2</v>
      </c>
      <c r="H22" s="22">
        <f t="shared" ref="H22:H30" si="16">+(F22*G22)+F22</f>
        <v>13426420</v>
      </c>
      <c r="I22" s="32">
        <v>0.02</v>
      </c>
      <c r="J22" s="22">
        <f>+(F22*I22)+F22</f>
        <v>13492560</v>
      </c>
      <c r="K22" s="63">
        <v>706</v>
      </c>
      <c r="L22" s="22">
        <v>9032968000</v>
      </c>
      <c r="M22" s="63">
        <v>840</v>
      </c>
      <c r="N22" s="59">
        <v>10736520000</v>
      </c>
      <c r="O22" s="59">
        <f t="shared" ref="O22:O30" si="17">L22+N22</f>
        <v>19769488000</v>
      </c>
      <c r="P22" s="59">
        <f t="shared" ref="P22:P30" si="18">L22/(1+E22)</f>
        <v>8562054976.303318</v>
      </c>
      <c r="Q22" s="59">
        <f t="shared" ref="Q22:Q30" si="19">(P22*$Q$8)+P22</f>
        <v>8954197094.2180099</v>
      </c>
      <c r="R22" s="59">
        <f t="shared" ref="R22:R30" si="20">+L22-Q22</f>
        <v>78770905.781990051</v>
      </c>
      <c r="S22" s="59">
        <f t="shared" ref="S22:S30" si="21">N22/(1+E22)</f>
        <v>10176796208.530806</v>
      </c>
      <c r="T22" s="59">
        <f t="shared" ref="T22:T30" si="22">(S22*$T$8)+S22</f>
        <v>10642893474.881517</v>
      </c>
      <c r="U22" s="59">
        <f t="shared" ref="U22:U30" si="23">N22-T22</f>
        <v>93626525.11848259</v>
      </c>
      <c r="V22" s="60">
        <f t="shared" ref="V22:V30" si="24">R22+U22</f>
        <v>172397430.90047264</v>
      </c>
      <c r="X22" s="107"/>
      <c r="Y22" s="107"/>
      <c r="Z22" s="108"/>
      <c r="AA22" s="108"/>
    </row>
    <row r="23" spans="2:27" x14ac:dyDescent="0.2">
      <c r="B23" s="20" t="s">
        <v>351</v>
      </c>
      <c r="C23" s="63">
        <v>160</v>
      </c>
      <c r="D23" s="22">
        <v>12192000</v>
      </c>
      <c r="E23" s="32">
        <v>5.5E-2</v>
      </c>
      <c r="F23" s="22">
        <f t="shared" si="15"/>
        <v>12863000</v>
      </c>
      <c r="G23" s="32">
        <v>1.4999999999999999E-2</v>
      </c>
      <c r="H23" s="22">
        <f t="shared" si="16"/>
        <v>13055945</v>
      </c>
      <c r="I23" s="32">
        <v>0.02</v>
      </c>
      <c r="J23" s="22">
        <f t="shared" ref="J23:J30" si="25">+(F23*I23)+F23</f>
        <v>13120260</v>
      </c>
      <c r="K23" s="63">
        <v>528</v>
      </c>
      <c r="L23" s="22">
        <v>6791664000</v>
      </c>
      <c r="M23" s="63">
        <v>380</v>
      </c>
      <c r="N23" s="59">
        <v>4887940000</v>
      </c>
      <c r="O23" s="59">
        <f t="shared" si="17"/>
        <v>11679604000</v>
      </c>
      <c r="P23" s="59">
        <f t="shared" si="18"/>
        <v>6437596208.5308065</v>
      </c>
      <c r="Q23" s="59">
        <f t="shared" si="19"/>
        <v>6732438114.8815174</v>
      </c>
      <c r="R23" s="59">
        <f t="shared" si="20"/>
        <v>59225885.11848259</v>
      </c>
      <c r="S23" s="59">
        <f t="shared" si="21"/>
        <v>4633118483.412323</v>
      </c>
      <c r="T23" s="59">
        <f t="shared" si="22"/>
        <v>4845315309.9526072</v>
      </c>
      <c r="U23" s="59">
        <f t="shared" si="23"/>
        <v>42624690.047392845</v>
      </c>
      <c r="V23" s="60">
        <f t="shared" si="24"/>
        <v>101850575.16587543</v>
      </c>
      <c r="X23" s="107"/>
      <c r="Y23" s="107"/>
      <c r="Z23" s="108"/>
      <c r="AA23" s="108"/>
    </row>
    <row r="24" spans="2:27" x14ac:dyDescent="0.2">
      <c r="B24" s="20" t="s">
        <v>350</v>
      </c>
      <c r="C24" s="63">
        <v>160</v>
      </c>
      <c r="D24" s="22">
        <v>12192000</v>
      </c>
      <c r="E24" s="32">
        <v>5.5E-2</v>
      </c>
      <c r="F24" s="22">
        <f t="shared" si="15"/>
        <v>12863000</v>
      </c>
      <c r="G24" s="32">
        <v>1.4999999999999999E-2</v>
      </c>
      <c r="H24" s="22">
        <f t="shared" si="16"/>
        <v>13055945</v>
      </c>
      <c r="I24" s="32">
        <v>0.02</v>
      </c>
      <c r="J24" s="22">
        <f t="shared" si="25"/>
        <v>13120260</v>
      </c>
      <c r="K24" s="63">
        <v>7</v>
      </c>
      <c r="L24" s="22">
        <v>71541000</v>
      </c>
      <c r="M24" s="63">
        <v>5</v>
      </c>
      <c r="N24" s="59">
        <v>59815000</v>
      </c>
      <c r="O24" s="59">
        <f t="shared" si="17"/>
        <v>131356000</v>
      </c>
      <c r="P24" s="59">
        <f t="shared" si="18"/>
        <v>67811374.407582939</v>
      </c>
      <c r="Q24" s="59">
        <f t="shared" si="19"/>
        <v>70917135.355450243</v>
      </c>
      <c r="R24" s="59">
        <f t="shared" si="20"/>
        <v>623864.64454975724</v>
      </c>
      <c r="S24" s="59">
        <f t="shared" si="21"/>
        <v>56696682.464454979</v>
      </c>
      <c r="T24" s="59">
        <f t="shared" si="22"/>
        <v>59293390.521327019</v>
      </c>
      <c r="U24" s="59">
        <f t="shared" si="23"/>
        <v>521609.47867298126</v>
      </c>
      <c r="V24" s="60">
        <f t="shared" si="24"/>
        <v>1145474.1232227385</v>
      </c>
      <c r="X24" s="107"/>
      <c r="Y24" s="107"/>
      <c r="Z24" s="108"/>
      <c r="AA24" s="108"/>
    </row>
    <row r="25" spans="2:27" x14ac:dyDescent="0.2">
      <c r="B25" s="20" t="s">
        <v>349</v>
      </c>
      <c r="C25" s="63">
        <v>160</v>
      </c>
      <c r="D25" s="22">
        <v>10445000</v>
      </c>
      <c r="E25" s="32">
        <v>5.5E-2</v>
      </c>
      <c r="F25" s="22">
        <f t="shared" si="15"/>
        <v>11019000</v>
      </c>
      <c r="G25" s="32">
        <v>1.4999999999999999E-2</v>
      </c>
      <c r="H25" s="22">
        <f t="shared" si="16"/>
        <v>11184285</v>
      </c>
      <c r="I25" s="32">
        <v>0.02</v>
      </c>
      <c r="J25" s="22">
        <f t="shared" si="25"/>
        <v>11239380</v>
      </c>
      <c r="K25" s="63">
        <v>2</v>
      </c>
      <c r="L25" s="22">
        <v>22038000</v>
      </c>
      <c r="M25" s="63">
        <v>1</v>
      </c>
      <c r="N25" s="59">
        <v>11019000</v>
      </c>
      <c r="O25" s="59">
        <f t="shared" si="17"/>
        <v>33057000</v>
      </c>
      <c r="P25" s="59">
        <f t="shared" si="18"/>
        <v>20889099.526066352</v>
      </c>
      <c r="Q25" s="59">
        <f t="shared" si="19"/>
        <v>21845820.284360189</v>
      </c>
      <c r="R25" s="59">
        <f t="shared" si="20"/>
        <v>192179.71563981101</v>
      </c>
      <c r="S25" s="59">
        <f t="shared" si="21"/>
        <v>10444549.763033176</v>
      </c>
      <c r="T25" s="59">
        <f t="shared" si="22"/>
        <v>10922910.142180094</v>
      </c>
      <c r="U25" s="59">
        <f t="shared" si="23"/>
        <v>96089.857819905505</v>
      </c>
      <c r="V25" s="60">
        <f t="shared" si="24"/>
        <v>288269.57345971651</v>
      </c>
      <c r="X25" s="107"/>
      <c r="Y25" s="107"/>
      <c r="Z25" s="108"/>
      <c r="AA25" s="108"/>
    </row>
    <row r="26" spans="2:27" x14ac:dyDescent="0.2">
      <c r="B26" s="20" t="s">
        <v>348</v>
      </c>
      <c r="C26" s="63">
        <v>160</v>
      </c>
      <c r="D26" s="22">
        <v>9635000</v>
      </c>
      <c r="E26" s="32">
        <v>5.5E-2</v>
      </c>
      <c r="F26" s="22">
        <f t="shared" si="15"/>
        <v>10165000</v>
      </c>
      <c r="G26" s="32">
        <v>1.4999999999999999E-2</v>
      </c>
      <c r="H26" s="22">
        <f t="shared" si="16"/>
        <v>10317475</v>
      </c>
      <c r="I26" s="32">
        <v>0.02</v>
      </c>
      <c r="J26" s="22">
        <f t="shared" si="25"/>
        <v>10368300</v>
      </c>
      <c r="K26" s="63">
        <v>2</v>
      </c>
      <c r="L26" s="22">
        <v>20330000</v>
      </c>
      <c r="M26" s="63">
        <v>1</v>
      </c>
      <c r="N26" s="59">
        <v>10165000</v>
      </c>
      <c r="O26" s="59">
        <f t="shared" si="17"/>
        <v>30495000</v>
      </c>
      <c r="P26" s="59">
        <f t="shared" si="18"/>
        <v>19270142.18009479</v>
      </c>
      <c r="Q26" s="59">
        <f t="shared" si="19"/>
        <v>20152714.691943131</v>
      </c>
      <c r="R26" s="59">
        <f t="shared" si="20"/>
        <v>177285.30805686861</v>
      </c>
      <c r="S26" s="59">
        <f t="shared" si="21"/>
        <v>9635071.0900473949</v>
      </c>
      <c r="T26" s="59">
        <f t="shared" si="22"/>
        <v>10076357.345971566</v>
      </c>
      <c r="U26" s="59">
        <f t="shared" si="23"/>
        <v>88642.654028434306</v>
      </c>
      <c r="V26" s="60">
        <f t="shared" si="24"/>
        <v>265927.96208530292</v>
      </c>
      <c r="X26" s="107"/>
      <c r="Y26" s="107"/>
      <c r="Z26" s="108"/>
      <c r="AA26" s="108"/>
    </row>
    <row r="27" spans="2:27" x14ac:dyDescent="0.2">
      <c r="B27" s="20" t="s">
        <v>53</v>
      </c>
      <c r="C27" s="63">
        <v>160</v>
      </c>
      <c r="D27" s="22">
        <v>13191000</v>
      </c>
      <c r="E27" s="32">
        <v>5.5E-2</v>
      </c>
      <c r="F27" s="22">
        <f t="shared" si="15"/>
        <v>13917000</v>
      </c>
      <c r="G27" s="32">
        <v>1.4999999999999999E-2</v>
      </c>
      <c r="H27" s="22">
        <f t="shared" si="16"/>
        <v>14125755</v>
      </c>
      <c r="I27" s="32">
        <v>0.02</v>
      </c>
      <c r="J27" s="22">
        <f t="shared" si="25"/>
        <v>14195340</v>
      </c>
      <c r="K27" s="63">
        <v>472</v>
      </c>
      <c r="L27" s="22">
        <v>5548964848</v>
      </c>
      <c r="M27" s="63">
        <v>434</v>
      </c>
      <c r="N27" s="59">
        <v>4890450648</v>
      </c>
      <c r="O27" s="59">
        <f t="shared" si="17"/>
        <v>10439415496</v>
      </c>
      <c r="P27" s="59">
        <f t="shared" si="18"/>
        <v>5259682320.3791475</v>
      </c>
      <c r="Q27" s="59">
        <f t="shared" si="19"/>
        <v>5500575770.6525126</v>
      </c>
      <c r="R27" s="59">
        <f t="shared" si="20"/>
        <v>48389077.34748745</v>
      </c>
      <c r="S27" s="59">
        <f t="shared" si="21"/>
        <v>4635498244.5497637</v>
      </c>
      <c r="T27" s="59">
        <f t="shared" si="22"/>
        <v>4847804064.1501427</v>
      </c>
      <c r="U27" s="59">
        <f t="shared" si="23"/>
        <v>42646583.84985733</v>
      </c>
      <c r="V27" s="60">
        <f t="shared" si="24"/>
        <v>91035661.19734478</v>
      </c>
      <c r="X27" s="107"/>
      <c r="Y27" s="107"/>
      <c r="Z27" s="108"/>
      <c r="AA27" s="108"/>
    </row>
    <row r="28" spans="2:27" x14ac:dyDescent="0.2">
      <c r="B28" s="20" t="s">
        <v>378</v>
      </c>
      <c r="C28" s="63">
        <v>140</v>
      </c>
      <c r="D28" s="22">
        <v>13191000</v>
      </c>
      <c r="E28" s="32">
        <v>5.5E-2</v>
      </c>
      <c r="F28" s="22">
        <f t="shared" si="15"/>
        <v>13917000</v>
      </c>
      <c r="G28" s="32">
        <v>1.4999999999999999E-2</v>
      </c>
      <c r="H28" s="22">
        <f t="shared" ref="H28" si="26">+(F28*G28)+F28</f>
        <v>14125755</v>
      </c>
      <c r="I28" s="32">
        <v>0.02</v>
      </c>
      <c r="J28" s="22">
        <f t="shared" ref="J28" si="27">+(F28*I28)+F28</f>
        <v>14195340</v>
      </c>
      <c r="K28" s="63">
        <v>161</v>
      </c>
      <c r="L28" s="22">
        <v>1738597500</v>
      </c>
      <c r="M28" s="63">
        <v>198</v>
      </c>
      <c r="N28" s="59">
        <v>2163010500</v>
      </c>
      <c r="O28" s="59">
        <f t="shared" si="17"/>
        <v>3901608000</v>
      </c>
      <c r="P28" s="59">
        <f t="shared" si="18"/>
        <v>1647959715.6398106</v>
      </c>
      <c r="Q28" s="59">
        <f t="shared" si="19"/>
        <v>1723436270.6161139</v>
      </c>
      <c r="R28" s="59">
        <f t="shared" si="20"/>
        <v>15161229.383886099</v>
      </c>
      <c r="S28" s="59">
        <f t="shared" si="21"/>
        <v>2050246919.4312797</v>
      </c>
      <c r="T28" s="59">
        <f t="shared" si="22"/>
        <v>2144148228.3412323</v>
      </c>
      <c r="U28" s="59">
        <f t="shared" si="23"/>
        <v>18862271.6587677</v>
      </c>
      <c r="V28" s="60">
        <f t="shared" si="24"/>
        <v>34023501.042653799</v>
      </c>
      <c r="X28" s="107"/>
      <c r="Y28" s="107"/>
      <c r="Z28" s="108"/>
      <c r="AA28" s="108"/>
    </row>
    <row r="29" spans="2:27" x14ac:dyDescent="0.2">
      <c r="B29" s="20" t="s">
        <v>54</v>
      </c>
      <c r="C29" s="63">
        <v>160</v>
      </c>
      <c r="D29" s="22">
        <v>6451000</v>
      </c>
      <c r="E29" s="32">
        <v>5.5E-2</v>
      </c>
      <c r="F29" s="22">
        <f t="shared" si="15"/>
        <v>6806000</v>
      </c>
      <c r="G29" s="32">
        <v>1.4999999999999999E-2</v>
      </c>
      <c r="H29" s="22">
        <f t="shared" si="16"/>
        <v>6908090</v>
      </c>
      <c r="I29" s="32">
        <v>0.02</v>
      </c>
      <c r="J29" s="22">
        <f t="shared" si="25"/>
        <v>6942120</v>
      </c>
      <c r="K29" s="63">
        <v>16</v>
      </c>
      <c r="L29" s="22">
        <v>108896000</v>
      </c>
      <c r="M29" s="63">
        <v>8</v>
      </c>
      <c r="N29" s="59">
        <v>54448000</v>
      </c>
      <c r="O29" s="59">
        <f t="shared" si="17"/>
        <v>163344000</v>
      </c>
      <c r="P29" s="59">
        <f t="shared" si="18"/>
        <v>103218957.34597157</v>
      </c>
      <c r="Q29" s="59">
        <f t="shared" si="19"/>
        <v>107946385.59241706</v>
      </c>
      <c r="R29" s="59">
        <f t="shared" si="20"/>
        <v>949614.40758293867</v>
      </c>
      <c r="S29" s="59">
        <f t="shared" si="21"/>
        <v>51609478.672985785</v>
      </c>
      <c r="T29" s="59">
        <f t="shared" si="22"/>
        <v>53973192.796208531</v>
      </c>
      <c r="U29" s="59">
        <f t="shared" si="23"/>
        <v>474807.20379146934</v>
      </c>
      <c r="V29" s="60">
        <f t="shared" si="24"/>
        <v>1424421.611374408</v>
      </c>
      <c r="X29" s="107"/>
      <c r="Y29" s="107"/>
      <c r="Z29" s="108"/>
      <c r="AA29" s="108"/>
    </row>
    <row r="30" spans="2:27" x14ac:dyDescent="0.2">
      <c r="B30" s="20" t="s">
        <v>55</v>
      </c>
      <c r="C30" s="63">
        <v>160</v>
      </c>
      <c r="D30" s="22">
        <v>6451000</v>
      </c>
      <c r="E30" s="32">
        <v>5.5E-2</v>
      </c>
      <c r="F30" s="22">
        <f t="shared" si="15"/>
        <v>6806000</v>
      </c>
      <c r="G30" s="32">
        <v>1.4999999999999999E-2</v>
      </c>
      <c r="H30" s="22">
        <f t="shared" si="16"/>
        <v>6908090</v>
      </c>
      <c r="I30" s="32">
        <v>0.02</v>
      </c>
      <c r="J30" s="22">
        <f t="shared" si="25"/>
        <v>6942120</v>
      </c>
      <c r="K30" s="63">
        <v>308</v>
      </c>
      <c r="L30" s="22">
        <v>2078470000</v>
      </c>
      <c r="M30" s="63">
        <v>278</v>
      </c>
      <c r="N30" s="59">
        <v>1866023000</v>
      </c>
      <c r="O30" s="59">
        <f t="shared" si="17"/>
        <v>3944493000</v>
      </c>
      <c r="P30" s="59">
        <f t="shared" si="18"/>
        <v>1970113744.0758295</v>
      </c>
      <c r="Q30" s="59">
        <f t="shared" si="19"/>
        <v>2060344953.5545025</v>
      </c>
      <c r="R30" s="59">
        <f t="shared" si="20"/>
        <v>18125046.445497513</v>
      </c>
      <c r="S30" s="59">
        <f t="shared" si="21"/>
        <v>1768742180.0947869</v>
      </c>
      <c r="T30" s="59">
        <f t="shared" si="22"/>
        <v>1849750571.9431281</v>
      </c>
      <c r="U30" s="59">
        <f t="shared" si="23"/>
        <v>16272428.056871891</v>
      </c>
      <c r="V30" s="60">
        <f t="shared" si="24"/>
        <v>34397474.502369404</v>
      </c>
      <c r="X30" s="107"/>
      <c r="Y30" s="107"/>
      <c r="Z30" s="108"/>
      <c r="AA30" s="108"/>
    </row>
    <row r="31" spans="2:27" x14ac:dyDescent="0.2">
      <c r="B31" s="24" t="s">
        <v>213</v>
      </c>
      <c r="C31" s="63"/>
      <c r="D31" s="22"/>
      <c r="E31" s="23"/>
      <c r="F31" s="25"/>
      <c r="G31" s="23"/>
      <c r="H31" s="22"/>
      <c r="I31" s="23"/>
      <c r="J31" s="22"/>
      <c r="K31" s="63"/>
      <c r="L31" s="223"/>
      <c r="M31" s="63"/>
      <c r="N31" s="223"/>
      <c r="O31" s="64"/>
      <c r="P31" s="61"/>
      <c r="Q31" s="61"/>
      <c r="R31" s="61"/>
      <c r="S31" s="61"/>
      <c r="T31" s="61"/>
      <c r="U31" s="61"/>
      <c r="V31" s="62"/>
      <c r="X31" s="107"/>
      <c r="Y31" s="107"/>
      <c r="Z31" s="108"/>
      <c r="AA31" s="108"/>
    </row>
    <row r="32" spans="2:27" x14ac:dyDescent="0.2">
      <c r="B32" s="20" t="s">
        <v>56</v>
      </c>
      <c r="C32" s="63">
        <v>144</v>
      </c>
      <c r="D32" s="22">
        <v>12311000</v>
      </c>
      <c r="E32" s="32">
        <v>5.5E-2</v>
      </c>
      <c r="F32" s="22">
        <f t="shared" ref="F32:F34" si="28">+ROUND((D32*E32)+D32,-3)</f>
        <v>12988000</v>
      </c>
      <c r="G32" s="32">
        <v>1.4999999999999999E-2</v>
      </c>
      <c r="H32" s="22">
        <f t="shared" ref="H32:H34" si="29">+(F32*G32)+F32</f>
        <v>13182820</v>
      </c>
      <c r="I32" s="32">
        <v>0.02</v>
      </c>
      <c r="J32" s="22">
        <f t="shared" ref="J32:J34" si="30">+(F32*I32)+F32</f>
        <v>13247760</v>
      </c>
      <c r="K32" s="63">
        <v>1334</v>
      </c>
      <c r="L32" s="22">
        <v>15466230500</v>
      </c>
      <c r="M32" s="63">
        <v>1270</v>
      </c>
      <c r="N32" s="59">
        <v>14656013095</v>
      </c>
      <c r="O32" s="59">
        <f>L32+N32</f>
        <v>30122243595</v>
      </c>
      <c r="P32" s="59">
        <f>L32/(1+E32)</f>
        <v>14659934123.22275</v>
      </c>
      <c r="Q32" s="59">
        <f>(P32*$Q$8)+P32</f>
        <v>15331359106.066351</v>
      </c>
      <c r="R32" s="59">
        <f>+L32-Q32</f>
        <v>134871393.93364906</v>
      </c>
      <c r="S32" s="59">
        <f>N32/(1+E32)</f>
        <v>13891955540.284361</v>
      </c>
      <c r="T32" s="59">
        <f t="shared" ref="T32:T34" si="31">(S32*$T$8)+S32</f>
        <v>14528207104.029385</v>
      </c>
      <c r="U32" s="59">
        <f>N32-T32</f>
        <v>127805990.97061539</v>
      </c>
      <c r="V32" s="60">
        <f t="shared" ref="V32:V34" si="32">R32+U32</f>
        <v>262677384.90426445</v>
      </c>
      <c r="X32" s="107"/>
      <c r="Y32" s="107"/>
      <c r="Z32" s="108"/>
      <c r="AA32" s="108"/>
    </row>
    <row r="33" spans="2:27" x14ac:dyDescent="0.2">
      <c r="B33" s="20" t="s">
        <v>335</v>
      </c>
      <c r="C33" s="63">
        <v>180</v>
      </c>
      <c r="D33" s="22">
        <v>8475000</v>
      </c>
      <c r="E33" s="32">
        <v>5.5E-2</v>
      </c>
      <c r="F33" s="22">
        <f t="shared" si="28"/>
        <v>8941000</v>
      </c>
      <c r="G33" s="32">
        <v>1.4999999999999999E-2</v>
      </c>
      <c r="H33" s="22">
        <f t="shared" si="29"/>
        <v>9075115</v>
      </c>
      <c r="I33" s="32">
        <v>0.02</v>
      </c>
      <c r="J33" s="22">
        <f t="shared" si="30"/>
        <v>9119820</v>
      </c>
      <c r="K33" s="63">
        <v>388</v>
      </c>
      <c r="L33" s="22">
        <v>3295008500</v>
      </c>
      <c r="M33" s="63">
        <v>394</v>
      </c>
      <c r="N33" s="59">
        <v>3361822206</v>
      </c>
      <c r="O33" s="59">
        <f>L33+N33</f>
        <v>6656830706</v>
      </c>
      <c r="P33" s="59">
        <f>L33/(1+E33)</f>
        <v>3123230805.6872039</v>
      </c>
      <c r="Q33" s="59">
        <f>(P33*$Q$8)+P33</f>
        <v>3266274776.587678</v>
      </c>
      <c r="R33" s="59">
        <f>+L33-Q33</f>
        <v>28733723.412322044</v>
      </c>
      <c r="S33" s="59">
        <f>N33/(1+E33)</f>
        <v>3186561332.7014222</v>
      </c>
      <c r="T33" s="59">
        <f t="shared" si="31"/>
        <v>3332505841.7391472</v>
      </c>
      <c r="U33" s="59">
        <f>N33-T33</f>
        <v>29316364.260852814</v>
      </c>
      <c r="V33" s="60">
        <f t="shared" si="32"/>
        <v>58050087.673174858</v>
      </c>
      <c r="X33" s="107"/>
      <c r="Y33" s="107"/>
      <c r="Z33" s="108"/>
      <c r="AA33" s="108"/>
    </row>
    <row r="34" spans="2:27" x14ac:dyDescent="0.2">
      <c r="B34" s="20" t="s">
        <v>372</v>
      </c>
      <c r="C34" s="63">
        <v>144</v>
      </c>
      <c r="D34" s="22">
        <v>5097000</v>
      </c>
      <c r="E34" s="32">
        <v>5.5E-2</v>
      </c>
      <c r="F34" s="22">
        <f t="shared" si="28"/>
        <v>5377000</v>
      </c>
      <c r="G34" s="32">
        <v>1.4999999999999999E-2</v>
      </c>
      <c r="H34" s="22">
        <f t="shared" si="29"/>
        <v>5457655</v>
      </c>
      <c r="I34" s="32">
        <v>0.02</v>
      </c>
      <c r="J34" s="22">
        <f t="shared" si="30"/>
        <v>5484540</v>
      </c>
      <c r="K34" s="63">
        <v>86</v>
      </c>
      <c r="L34" s="22">
        <v>336597873.99999994</v>
      </c>
      <c r="M34" s="63">
        <v>82</v>
      </c>
      <c r="N34" s="59">
        <v>329201176.99999994</v>
      </c>
      <c r="O34" s="59">
        <f>L34+N34</f>
        <v>665799050.99999988</v>
      </c>
      <c r="P34" s="59">
        <f>L34/(1+E34)</f>
        <v>319050117.53554499</v>
      </c>
      <c r="Q34" s="59">
        <f>(P34*$Q$8)+P34</f>
        <v>333662612.91867298</v>
      </c>
      <c r="R34" s="59">
        <f>+L34-Q34</f>
        <v>2935261.0813269615</v>
      </c>
      <c r="S34" s="59">
        <f>N34/(1+E34)</f>
        <v>312039030.33175349</v>
      </c>
      <c r="T34" s="59">
        <f t="shared" si="31"/>
        <v>326330417.92094779</v>
      </c>
      <c r="U34" s="59">
        <f>N34-T34</f>
        <v>2870759.0790521502</v>
      </c>
      <c r="V34" s="60">
        <f t="shared" si="32"/>
        <v>5806020.1603791118</v>
      </c>
      <c r="X34" s="107"/>
      <c r="Y34" s="107"/>
      <c r="Z34" s="108"/>
      <c r="AA34" s="108"/>
    </row>
    <row r="35" spans="2:27" x14ac:dyDescent="0.2">
      <c r="B35" s="24" t="s">
        <v>214</v>
      </c>
      <c r="C35" s="63"/>
      <c r="D35" s="22"/>
      <c r="E35" s="23"/>
      <c r="F35" s="25"/>
      <c r="G35" s="23"/>
      <c r="H35" s="22"/>
      <c r="I35" s="23"/>
      <c r="J35" s="22"/>
      <c r="K35" s="63"/>
      <c r="L35" s="223"/>
      <c r="M35" s="63"/>
      <c r="N35" s="223"/>
      <c r="O35" s="64"/>
      <c r="P35" s="61"/>
      <c r="Q35" s="61"/>
      <c r="R35" s="61"/>
      <c r="S35" s="61"/>
      <c r="T35" s="61"/>
      <c r="U35" s="61"/>
      <c r="V35" s="62"/>
      <c r="X35" s="107"/>
      <c r="Y35" s="107"/>
      <c r="Z35" s="108"/>
      <c r="AA35" s="108"/>
    </row>
    <row r="36" spans="2:27" x14ac:dyDescent="0.2">
      <c r="B36" s="20" t="s">
        <v>354</v>
      </c>
      <c r="C36" s="63">
        <v>190</v>
      </c>
      <c r="D36" s="22">
        <v>13045000</v>
      </c>
      <c r="E36" s="32">
        <v>5.5E-2</v>
      </c>
      <c r="F36" s="22">
        <f t="shared" ref="F36:F37" si="33">+ROUND((D36*E36)+D36,-3)</f>
        <v>13762000</v>
      </c>
      <c r="G36" s="32">
        <v>1.4999999999999999E-2</v>
      </c>
      <c r="H36" s="22">
        <f>+(F36*G36)+F36</f>
        <v>13968430</v>
      </c>
      <c r="I36" s="32">
        <v>0.02</v>
      </c>
      <c r="J36" s="22">
        <f>+(F36*I36)+F36</f>
        <v>14037240</v>
      </c>
      <c r="K36" s="63">
        <v>603</v>
      </c>
      <c r="L36" s="22">
        <v>7747323000</v>
      </c>
      <c r="M36" s="63">
        <v>723</v>
      </c>
      <c r="N36" s="59">
        <v>9420636000</v>
      </c>
      <c r="O36" s="59">
        <f>L36+N36</f>
        <v>17167959000</v>
      </c>
      <c r="P36" s="59">
        <f>L36/(1+E36)</f>
        <v>7343434123.2227497</v>
      </c>
      <c r="Q36" s="59">
        <f>(P36*$Q$8)+P36</f>
        <v>7679763406.0663519</v>
      </c>
      <c r="R36" s="59">
        <f>+L36-Q36</f>
        <v>67559593.933648109</v>
      </c>
      <c r="S36" s="59">
        <f>N36/(1+E36)</f>
        <v>8929512796.2085304</v>
      </c>
      <c r="T36" s="59">
        <f t="shared" ref="T36:T37" si="34">(S36*$T$8)+S36</f>
        <v>9338484482.2748814</v>
      </c>
      <c r="U36" s="59">
        <f>N36-T36</f>
        <v>82151517.725118637</v>
      </c>
      <c r="V36" s="60">
        <f t="shared" ref="V36:V37" si="35">R36+U36</f>
        <v>149711111.65876675</v>
      </c>
      <c r="X36" s="107"/>
      <c r="Y36" s="107"/>
      <c r="Z36" s="108"/>
      <c r="AA36" s="108"/>
    </row>
    <row r="37" spans="2:27" x14ac:dyDescent="0.2">
      <c r="B37" s="20" t="s">
        <v>353</v>
      </c>
      <c r="C37" s="63">
        <v>190</v>
      </c>
      <c r="D37" s="22">
        <v>12792000</v>
      </c>
      <c r="E37" s="32">
        <v>5.5E-2</v>
      </c>
      <c r="F37" s="22">
        <f t="shared" si="33"/>
        <v>13496000</v>
      </c>
      <c r="G37" s="32">
        <v>1.4999999999999999E-2</v>
      </c>
      <c r="H37" s="22">
        <f>+(F37*G37)+F37</f>
        <v>13698440</v>
      </c>
      <c r="I37" s="32">
        <v>0.02</v>
      </c>
      <c r="J37" s="22">
        <f>+(F37*I37)+F37</f>
        <v>13765920</v>
      </c>
      <c r="K37" s="63">
        <v>610</v>
      </c>
      <c r="L37" s="22">
        <v>8232560000</v>
      </c>
      <c r="M37" s="63">
        <v>471</v>
      </c>
      <c r="N37" s="59">
        <v>6356616000</v>
      </c>
      <c r="O37" s="59">
        <f>L37+N37</f>
        <v>14589176000</v>
      </c>
      <c r="P37" s="59">
        <f>L37/(1+E37)</f>
        <v>7803374407.5829391</v>
      </c>
      <c r="Q37" s="59">
        <f>(P37*$Q$8)+P37</f>
        <v>8160768955.4502373</v>
      </c>
      <c r="R37" s="59">
        <f>+L37-Q37</f>
        <v>71791044.549762726</v>
      </c>
      <c r="S37" s="59">
        <f>N37/(1+E37)</f>
        <v>6025228436.0189581</v>
      </c>
      <c r="T37" s="59">
        <f t="shared" si="34"/>
        <v>6301183898.3886261</v>
      </c>
      <c r="U37" s="59">
        <f>N37-T37</f>
        <v>55432101.611373901</v>
      </c>
      <c r="V37" s="60">
        <f t="shared" si="35"/>
        <v>127223146.16113663</v>
      </c>
      <c r="X37" s="107"/>
      <c r="Y37" s="107"/>
      <c r="Z37" s="108"/>
      <c r="AA37" s="108"/>
    </row>
    <row r="38" spans="2:27" x14ac:dyDescent="0.2">
      <c r="B38" s="24" t="s">
        <v>215</v>
      </c>
      <c r="C38" s="63"/>
      <c r="D38" s="22"/>
      <c r="E38" s="23"/>
      <c r="F38" s="22"/>
      <c r="G38" s="23"/>
      <c r="H38" s="22"/>
      <c r="I38" s="23"/>
      <c r="J38" s="22"/>
      <c r="K38" s="63"/>
      <c r="L38" s="223"/>
      <c r="M38" s="63"/>
      <c r="N38" s="223"/>
      <c r="O38" s="64"/>
      <c r="P38" s="61"/>
      <c r="Q38" s="61"/>
      <c r="R38" s="61"/>
      <c r="S38" s="61"/>
      <c r="T38" s="61"/>
      <c r="U38" s="61"/>
      <c r="V38" s="62"/>
      <c r="X38" s="107"/>
      <c r="Y38" s="107"/>
      <c r="Z38" s="108"/>
      <c r="AA38" s="108"/>
    </row>
    <row r="39" spans="2:27" x14ac:dyDescent="0.2">
      <c r="B39" s="20" t="s">
        <v>57</v>
      </c>
      <c r="C39" s="63">
        <v>160</v>
      </c>
      <c r="D39" s="22">
        <v>7193000</v>
      </c>
      <c r="E39" s="32">
        <v>5.5E-2</v>
      </c>
      <c r="F39" s="22">
        <f t="shared" ref="F39" si="36">+ROUND((D39*E39)+D39,-3)</f>
        <v>7589000</v>
      </c>
      <c r="G39" s="32">
        <v>1.4999999999999999E-2</v>
      </c>
      <c r="H39" s="22">
        <f>+(F39*G39)+F39</f>
        <v>7702835</v>
      </c>
      <c r="I39" s="32">
        <v>0.02</v>
      </c>
      <c r="J39" s="22">
        <f>+(F39*I39)+F39</f>
        <v>7740780</v>
      </c>
      <c r="K39" s="63">
        <v>397</v>
      </c>
      <c r="L39" s="22">
        <v>2661601000</v>
      </c>
      <c r="M39" s="63">
        <v>395</v>
      </c>
      <c r="N39" s="59">
        <v>2545229800</v>
      </c>
      <c r="O39" s="59">
        <f>L39+N39</f>
        <v>5206830800</v>
      </c>
      <c r="P39" s="59">
        <f>L39/(1+E39)</f>
        <v>2522844549.7630334</v>
      </c>
      <c r="Q39" s="59">
        <f>(P39*$Q$8)+P39</f>
        <v>2638390830.1421804</v>
      </c>
      <c r="R39" s="59">
        <f>+L39-Q39</f>
        <v>23210169.857819557</v>
      </c>
      <c r="S39" s="59">
        <f>N39/(1+E39)</f>
        <v>2412540094.7867298</v>
      </c>
      <c r="T39" s="59">
        <f>(S39*$T$8)+S39</f>
        <v>2523034431.1279621</v>
      </c>
      <c r="U39" s="59">
        <f>N39-T39</f>
        <v>22195368.872037888</v>
      </c>
      <c r="V39" s="60">
        <f>R39+U39</f>
        <v>45405538.729857445</v>
      </c>
      <c r="X39" s="107"/>
      <c r="Y39" s="107"/>
      <c r="Z39" s="108"/>
      <c r="AA39" s="108"/>
    </row>
    <row r="40" spans="2:27" x14ac:dyDescent="0.2">
      <c r="B40" s="24" t="s">
        <v>216</v>
      </c>
      <c r="C40" s="63"/>
      <c r="D40" s="22"/>
      <c r="E40" s="23"/>
      <c r="F40" s="22"/>
      <c r="G40" s="23"/>
      <c r="H40" s="22"/>
      <c r="I40" s="23"/>
      <c r="J40" s="22"/>
      <c r="K40" s="63"/>
      <c r="L40" s="223"/>
      <c r="M40" s="63"/>
      <c r="N40" s="223"/>
      <c r="O40" s="64"/>
      <c r="P40" s="61"/>
      <c r="Q40" s="61"/>
      <c r="R40" s="61"/>
      <c r="S40" s="61"/>
      <c r="T40" s="61"/>
      <c r="U40" s="61"/>
      <c r="V40" s="62"/>
      <c r="X40" s="107"/>
      <c r="Y40" s="107"/>
      <c r="Z40" s="108"/>
      <c r="AA40" s="108"/>
    </row>
    <row r="41" spans="2:27" x14ac:dyDescent="0.2">
      <c r="B41" s="20" t="s">
        <v>58</v>
      </c>
      <c r="C41" s="63">
        <v>178</v>
      </c>
      <c r="D41" s="22">
        <v>11947000</v>
      </c>
      <c r="E41" s="32">
        <v>5.5E-2</v>
      </c>
      <c r="F41" s="22">
        <f t="shared" ref="F41:F43" si="37">+ROUND((D41*E41)+D41,-3)</f>
        <v>12604000</v>
      </c>
      <c r="G41" s="32">
        <v>1.4999999999999999E-2</v>
      </c>
      <c r="H41" s="22">
        <f t="shared" ref="H41:H43" si="38">+(F41*G41)+F41</f>
        <v>12793060</v>
      </c>
      <c r="I41" s="32">
        <v>0.02</v>
      </c>
      <c r="J41" s="22">
        <f t="shared" ref="J41:J43" si="39">+(F41*I41)+F41</f>
        <v>12856080</v>
      </c>
      <c r="K41" s="63">
        <v>447</v>
      </c>
      <c r="L41" s="22">
        <v>5250000000</v>
      </c>
      <c r="M41" s="63">
        <v>463</v>
      </c>
      <c r="N41" s="59">
        <v>5405289000</v>
      </c>
      <c r="O41" s="59">
        <f>L41+N41</f>
        <v>10655289000</v>
      </c>
      <c r="P41" s="59">
        <f>L41/(1+E41)</f>
        <v>4976303317.5355453</v>
      </c>
      <c r="Q41" s="59">
        <f>(P41*$Q$8)+P41</f>
        <v>5204218009.478673</v>
      </c>
      <c r="R41" s="59">
        <f>+L41-Q41</f>
        <v>45781990.521327019</v>
      </c>
      <c r="S41" s="59">
        <f>N41/(1+E41)</f>
        <v>5123496682.4644556</v>
      </c>
      <c r="T41" s="59">
        <f t="shared" ref="T41:T43" si="40">(S41*$T$8)+S41</f>
        <v>5358152830.521328</v>
      </c>
      <c r="U41" s="59">
        <f>N41-T41</f>
        <v>47136169.478672028</v>
      </c>
      <c r="V41" s="60">
        <f t="shared" ref="V41:V43" si="41">R41+U41</f>
        <v>92918159.999999046</v>
      </c>
      <c r="X41" s="107"/>
      <c r="Y41" s="107"/>
      <c r="Z41" s="108"/>
      <c r="AA41" s="108"/>
    </row>
    <row r="42" spans="2:27" x14ac:dyDescent="0.2">
      <c r="B42" s="20" t="s">
        <v>59</v>
      </c>
      <c r="C42" s="63">
        <v>170</v>
      </c>
      <c r="D42" s="22">
        <v>11947000</v>
      </c>
      <c r="E42" s="32">
        <v>5.5E-2</v>
      </c>
      <c r="F42" s="22">
        <f t="shared" si="37"/>
        <v>12604000</v>
      </c>
      <c r="G42" s="32">
        <v>1.4999999999999999E-2</v>
      </c>
      <c r="H42" s="22">
        <f t="shared" si="38"/>
        <v>12793060</v>
      </c>
      <c r="I42" s="32">
        <v>0.02</v>
      </c>
      <c r="J42" s="22">
        <f t="shared" si="39"/>
        <v>12856080</v>
      </c>
      <c r="K42" s="63">
        <v>519</v>
      </c>
      <c r="L42" s="22">
        <v>6348665000</v>
      </c>
      <c r="M42" s="63">
        <v>482</v>
      </c>
      <c r="N42" s="59">
        <v>5909770000</v>
      </c>
      <c r="O42" s="59">
        <f>L42+N42</f>
        <v>12258435000</v>
      </c>
      <c r="P42" s="59">
        <f>L42/(1+E42)</f>
        <v>6017691943.1279621</v>
      </c>
      <c r="Q42" s="59">
        <f>(P42*$Q$8)+P42</f>
        <v>6293302234.1232224</v>
      </c>
      <c r="R42" s="59">
        <f>+L42-Q42</f>
        <v>55362765.876777649</v>
      </c>
      <c r="S42" s="59">
        <f>N42/(1+E42)</f>
        <v>5601677725.1184835</v>
      </c>
      <c r="T42" s="59">
        <f t="shared" si="40"/>
        <v>5858234564.9289103</v>
      </c>
      <c r="U42" s="59">
        <f>N42-T42</f>
        <v>51535435.071089745</v>
      </c>
      <c r="V42" s="60">
        <f t="shared" si="41"/>
        <v>106898200.94786739</v>
      </c>
      <c r="X42" s="107"/>
      <c r="Y42" s="107"/>
      <c r="Z42" s="108"/>
      <c r="AA42" s="108"/>
    </row>
    <row r="43" spans="2:27" x14ac:dyDescent="0.2">
      <c r="B43" s="20" t="s">
        <v>60</v>
      </c>
      <c r="C43" s="63">
        <v>153</v>
      </c>
      <c r="D43" s="22">
        <v>11947000</v>
      </c>
      <c r="E43" s="32">
        <v>5.5E-2</v>
      </c>
      <c r="F43" s="22">
        <f t="shared" si="37"/>
        <v>12604000</v>
      </c>
      <c r="G43" s="32">
        <v>1.4999999999999999E-2</v>
      </c>
      <c r="H43" s="22">
        <f t="shared" si="38"/>
        <v>12793060</v>
      </c>
      <c r="I43" s="32">
        <v>0.02</v>
      </c>
      <c r="J43" s="22">
        <f t="shared" si="39"/>
        <v>12856080</v>
      </c>
      <c r="K43" s="63">
        <v>231</v>
      </c>
      <c r="L43" s="22">
        <v>2830858400</v>
      </c>
      <c r="M43" s="63">
        <v>237</v>
      </c>
      <c r="N43" s="59">
        <v>2849764400</v>
      </c>
      <c r="O43" s="59">
        <f>L43+N43</f>
        <v>5680622800</v>
      </c>
      <c r="P43" s="59">
        <f>L43/(1+E43)</f>
        <v>2683278104.2654028</v>
      </c>
      <c r="Q43" s="59">
        <f>(P43*$Q$8)+P43</f>
        <v>2806172241.4407582</v>
      </c>
      <c r="R43" s="59">
        <f>+L43-Q43</f>
        <v>24686158.559241772</v>
      </c>
      <c r="S43" s="59">
        <f>N43/(1+E43)</f>
        <v>2701198483.4123225</v>
      </c>
      <c r="T43" s="59">
        <f t="shared" si="40"/>
        <v>2824913373.9526067</v>
      </c>
      <c r="U43" s="59">
        <f>N43-T43</f>
        <v>24851026.047393322</v>
      </c>
      <c r="V43" s="60">
        <f t="shared" si="41"/>
        <v>49537184.606635094</v>
      </c>
      <c r="X43" s="107"/>
      <c r="Y43" s="107"/>
      <c r="Z43" s="108"/>
      <c r="AA43" s="108"/>
    </row>
    <row r="44" spans="2:27" x14ac:dyDescent="0.2">
      <c r="B44" s="24" t="s">
        <v>217</v>
      </c>
      <c r="C44" s="63"/>
      <c r="D44" s="22"/>
      <c r="E44" s="23"/>
      <c r="F44" s="25"/>
      <c r="G44" s="23"/>
      <c r="H44" s="22"/>
      <c r="I44" s="23"/>
      <c r="J44" s="22"/>
      <c r="K44" s="63"/>
      <c r="L44" s="223"/>
      <c r="M44" s="63"/>
      <c r="N44" s="223"/>
      <c r="O44" s="64"/>
      <c r="P44" s="61"/>
      <c r="Q44" s="61"/>
      <c r="R44" s="61"/>
      <c r="S44" s="61"/>
      <c r="T44" s="61"/>
      <c r="U44" s="61"/>
      <c r="V44" s="62"/>
      <c r="X44" s="107"/>
      <c r="Y44" s="107"/>
      <c r="Z44" s="108"/>
      <c r="AA44" s="108"/>
    </row>
    <row r="45" spans="2:27" x14ac:dyDescent="0.2">
      <c r="B45" s="20" t="s">
        <v>61</v>
      </c>
      <c r="C45" s="63">
        <v>140</v>
      </c>
      <c r="D45" s="22">
        <v>8770000</v>
      </c>
      <c r="E45" s="32">
        <v>5.5E-2</v>
      </c>
      <c r="F45" s="22">
        <f t="shared" ref="F45:F48" si="42">+ROUND((D45*E45)+D45,-3)</f>
        <v>9252000</v>
      </c>
      <c r="G45" s="32">
        <v>1.4999999999999999E-2</v>
      </c>
      <c r="H45" s="22">
        <f t="shared" ref="H45:H48" si="43">+(F45*G45)+F45</f>
        <v>9390780</v>
      </c>
      <c r="I45" s="32">
        <v>0.02</v>
      </c>
      <c r="J45" s="22">
        <f t="shared" ref="J45:J48" si="44">+(F45*I45)+F45</f>
        <v>9437040</v>
      </c>
      <c r="K45" s="63">
        <v>97</v>
      </c>
      <c r="L45" s="22">
        <v>1001949987</v>
      </c>
      <c r="M45" s="63">
        <v>97</v>
      </c>
      <c r="N45" s="59">
        <v>1028177597</v>
      </c>
      <c r="O45" s="59">
        <f>L45+N45</f>
        <v>2030127584</v>
      </c>
      <c r="P45" s="59">
        <f>L45/(1+E45)</f>
        <v>949715627.48815167</v>
      </c>
      <c r="Q45" s="59">
        <f>(P45*$Q$8)+P45</f>
        <v>993212603.22710896</v>
      </c>
      <c r="R45" s="59">
        <f>+L45-Q45</f>
        <v>8737383.7728910446</v>
      </c>
      <c r="S45" s="59">
        <f>N45/(1+E45)</f>
        <v>974575921.32701433</v>
      </c>
      <c r="T45" s="59">
        <f t="shared" ref="T45:T48" si="45">(S45*$T$8)+S45</f>
        <v>1019211498.5237916</v>
      </c>
      <c r="U45" s="59">
        <f>N45-T45</f>
        <v>8966098.4762084484</v>
      </c>
      <c r="V45" s="60">
        <f t="shared" ref="V45:V48" si="46">R45+U45</f>
        <v>17703482.249099493</v>
      </c>
      <c r="X45" s="107"/>
      <c r="Y45" s="107"/>
      <c r="Z45" s="108"/>
      <c r="AA45" s="108"/>
    </row>
    <row r="46" spans="2:27" x14ac:dyDescent="0.2">
      <c r="B46" s="20" t="s">
        <v>62</v>
      </c>
      <c r="C46" s="63">
        <v>140</v>
      </c>
      <c r="D46" s="22">
        <v>8770000</v>
      </c>
      <c r="E46" s="32">
        <v>5.5E-2</v>
      </c>
      <c r="F46" s="22">
        <f t="shared" si="42"/>
        <v>9252000</v>
      </c>
      <c r="G46" s="32">
        <v>1.4999999999999999E-2</v>
      </c>
      <c r="H46" s="22">
        <f t="shared" si="43"/>
        <v>9390780</v>
      </c>
      <c r="I46" s="32">
        <v>0.02</v>
      </c>
      <c r="J46" s="22">
        <f t="shared" si="44"/>
        <v>9437040</v>
      </c>
      <c r="K46" s="63">
        <v>200</v>
      </c>
      <c r="L46" s="22">
        <v>1907423246</v>
      </c>
      <c r="M46" s="63">
        <v>198</v>
      </c>
      <c r="N46" s="59">
        <v>1887787819</v>
      </c>
      <c r="O46" s="59">
        <f>L46+N46</f>
        <v>3795211065</v>
      </c>
      <c r="P46" s="59">
        <f>L46/(1+E46)</f>
        <v>1807984119.4312797</v>
      </c>
      <c r="Q46" s="59">
        <f>(P46*$Q$8)+P46</f>
        <v>1890789792.1012323</v>
      </c>
      <c r="R46" s="59">
        <f>+L46-Q46</f>
        <v>16633453.89876771</v>
      </c>
      <c r="S46" s="59">
        <f>N46/(1+E46)</f>
        <v>1789372340.2843604</v>
      </c>
      <c r="T46" s="59">
        <f t="shared" si="45"/>
        <v>1871325593.4693842</v>
      </c>
      <c r="U46" s="59">
        <f>N46-T46</f>
        <v>16462225.530615807</v>
      </c>
      <c r="V46" s="60">
        <f t="shared" si="46"/>
        <v>33095679.429383516</v>
      </c>
      <c r="X46" s="107"/>
      <c r="Y46" s="107"/>
      <c r="Z46" s="108"/>
      <c r="AA46" s="108"/>
    </row>
    <row r="47" spans="2:27" x14ac:dyDescent="0.2">
      <c r="B47" s="20" t="s">
        <v>63</v>
      </c>
      <c r="C47" s="63">
        <v>150</v>
      </c>
      <c r="D47" s="22">
        <v>8770000</v>
      </c>
      <c r="E47" s="32">
        <v>5.5E-2</v>
      </c>
      <c r="F47" s="22">
        <f t="shared" si="42"/>
        <v>9252000</v>
      </c>
      <c r="G47" s="32">
        <v>1.4999999999999999E-2</v>
      </c>
      <c r="H47" s="22">
        <f>+(F47*G47)+F47</f>
        <v>9390780</v>
      </c>
      <c r="I47" s="32">
        <v>0.02</v>
      </c>
      <c r="J47" s="22">
        <f t="shared" si="44"/>
        <v>9437040</v>
      </c>
      <c r="K47" s="63">
        <v>125</v>
      </c>
      <c r="L47" s="22">
        <v>1335743654</v>
      </c>
      <c r="M47" s="63">
        <v>124</v>
      </c>
      <c r="N47" s="59">
        <v>1291499481</v>
      </c>
      <c r="O47" s="59">
        <f>L47+N47</f>
        <v>2627243135</v>
      </c>
      <c r="P47" s="59">
        <f>L47/(1+E47)</f>
        <v>1266107728.9099526</v>
      </c>
      <c r="Q47" s="59">
        <f>(P47*$Q$8)+P47</f>
        <v>1324095462.8940284</v>
      </c>
      <c r="R47" s="59">
        <f>+L47-Q47</f>
        <v>11648191.105971575</v>
      </c>
      <c r="S47" s="59">
        <f>N47/(1+E47)</f>
        <v>1224170124.1706161</v>
      </c>
      <c r="T47" s="59">
        <f t="shared" si="45"/>
        <v>1280237115.8576303</v>
      </c>
      <c r="U47" s="59">
        <f>N47-T47</f>
        <v>11262365.142369747</v>
      </c>
      <c r="V47" s="60">
        <f t="shared" si="46"/>
        <v>22910556.248341322</v>
      </c>
      <c r="X47" s="107"/>
      <c r="Y47" s="107"/>
      <c r="Z47" s="108"/>
      <c r="AA47" s="108"/>
    </row>
    <row r="48" spans="2:27" x14ac:dyDescent="0.2">
      <c r="B48" s="20" t="s">
        <v>64</v>
      </c>
      <c r="C48" s="63">
        <v>150</v>
      </c>
      <c r="D48" s="22">
        <v>8770000</v>
      </c>
      <c r="E48" s="32">
        <v>5.5E-2</v>
      </c>
      <c r="F48" s="22">
        <f t="shared" si="42"/>
        <v>9252000</v>
      </c>
      <c r="G48" s="32">
        <v>1.4999999999999999E-2</v>
      </c>
      <c r="H48" s="22">
        <f t="shared" si="43"/>
        <v>9390780</v>
      </c>
      <c r="I48" s="32">
        <v>0.02</v>
      </c>
      <c r="J48" s="22">
        <f t="shared" si="44"/>
        <v>9437040</v>
      </c>
      <c r="K48" s="63">
        <v>58</v>
      </c>
      <c r="L48" s="22">
        <v>699791384</v>
      </c>
      <c r="M48" s="63">
        <v>58</v>
      </c>
      <c r="N48" s="59">
        <v>679608583</v>
      </c>
      <c r="O48" s="59">
        <f>L48+N48</f>
        <v>1379399967</v>
      </c>
      <c r="P48" s="59">
        <f>L48/(1+E48)</f>
        <v>663309368.72037923</v>
      </c>
      <c r="Q48" s="59">
        <f>(P48*$Q$8)+P48</f>
        <v>693688937.80777264</v>
      </c>
      <c r="R48" s="59">
        <f>+L48-Q48</f>
        <v>6102446.1922273636</v>
      </c>
      <c r="S48" s="59">
        <f>N48/(1+E48)</f>
        <v>644178751.65876782</v>
      </c>
      <c r="T48" s="59">
        <f t="shared" si="45"/>
        <v>673682138.48473942</v>
      </c>
      <c r="U48" s="59">
        <f>N48-T48</f>
        <v>5926444.5152605772</v>
      </c>
      <c r="V48" s="60">
        <f t="shared" si="46"/>
        <v>12028890.707487941</v>
      </c>
      <c r="X48" s="107"/>
      <c r="Y48" s="107"/>
      <c r="Z48" s="108"/>
      <c r="AA48" s="108"/>
    </row>
    <row r="49" spans="2:27" x14ac:dyDescent="0.2">
      <c r="B49" s="24" t="s">
        <v>218</v>
      </c>
      <c r="C49" s="63"/>
      <c r="D49" s="22"/>
      <c r="E49" s="23"/>
      <c r="F49" s="22"/>
      <c r="G49" s="23"/>
      <c r="H49" s="22"/>
      <c r="I49" s="23"/>
      <c r="J49" s="22"/>
      <c r="K49" s="63"/>
      <c r="L49" s="223"/>
      <c r="M49" s="63"/>
      <c r="N49" s="223"/>
      <c r="O49" s="64"/>
      <c r="P49" s="5"/>
      <c r="Q49" s="61"/>
      <c r="R49" s="61"/>
      <c r="S49" s="61"/>
      <c r="T49" s="61"/>
      <c r="U49" s="61"/>
      <c r="V49" s="62"/>
      <c r="X49" s="107"/>
      <c r="Y49" s="107"/>
      <c r="Z49" s="108"/>
      <c r="AA49" s="108"/>
    </row>
    <row r="50" spans="2:27" x14ac:dyDescent="0.2">
      <c r="B50" s="20" t="s">
        <v>66</v>
      </c>
      <c r="C50" s="63">
        <v>160</v>
      </c>
      <c r="D50" s="22">
        <v>6725000</v>
      </c>
      <c r="E50" s="32">
        <v>5.5E-2</v>
      </c>
      <c r="F50" s="22">
        <f t="shared" ref="F50:F51" si="47">+ROUND((D50*E50)+D50,-3)</f>
        <v>7095000</v>
      </c>
      <c r="G50" s="32">
        <v>1.4999999999999999E-2</v>
      </c>
      <c r="H50" s="22">
        <f t="shared" ref="H50:H53" si="48">+(F50*G50)+F50</f>
        <v>7201425</v>
      </c>
      <c r="I50" s="32">
        <v>0.02</v>
      </c>
      <c r="J50" s="22">
        <f t="shared" ref="J50:J53" si="49">+(F50*I50)+F50</f>
        <v>7236900</v>
      </c>
      <c r="K50" s="63">
        <v>3</v>
      </c>
      <c r="L50" s="22">
        <v>21285000</v>
      </c>
      <c r="M50" s="63">
        <v>3</v>
      </c>
      <c r="N50" s="59">
        <v>24832500</v>
      </c>
      <c r="O50" s="59">
        <f>L50+N50</f>
        <v>46117500</v>
      </c>
      <c r="P50" s="59">
        <f>L50/(1+E50)</f>
        <v>20175355.450236969</v>
      </c>
      <c r="Q50" s="59">
        <f>(P50*$Q$8)+P50</f>
        <v>21099386.729857821</v>
      </c>
      <c r="R50" s="59">
        <f>+L50-Q50</f>
        <v>185613.27014217898</v>
      </c>
      <c r="S50" s="59">
        <f>N50/(1+E50)</f>
        <v>23537914.691943128</v>
      </c>
      <c r="T50" s="59">
        <f t="shared" ref="T50:T51" si="50">(S50*$T$8)+S50</f>
        <v>24615951.184834123</v>
      </c>
      <c r="U50" s="59">
        <f>N50-T50</f>
        <v>216548.81516587734</v>
      </c>
      <c r="V50" s="60">
        <f t="shared" ref="V50:V51" si="51">R50+U50</f>
        <v>402162.08530805632</v>
      </c>
      <c r="X50" s="107"/>
      <c r="Y50" s="107"/>
      <c r="Z50" s="108"/>
      <c r="AA50" s="108"/>
    </row>
    <row r="51" spans="2:27" x14ac:dyDescent="0.2">
      <c r="B51" s="20" t="s">
        <v>65</v>
      </c>
      <c r="C51" s="63">
        <v>150</v>
      </c>
      <c r="D51" s="22">
        <v>6725000</v>
      </c>
      <c r="E51" s="32">
        <v>5.5E-2</v>
      </c>
      <c r="F51" s="22">
        <f t="shared" si="47"/>
        <v>7095000</v>
      </c>
      <c r="G51" s="32">
        <v>1.4999999999999999E-2</v>
      </c>
      <c r="H51" s="22">
        <f t="shared" si="48"/>
        <v>7201425</v>
      </c>
      <c r="I51" s="32">
        <v>0.02</v>
      </c>
      <c r="J51" s="22">
        <f t="shared" si="49"/>
        <v>7236900</v>
      </c>
      <c r="K51" s="63">
        <v>72</v>
      </c>
      <c r="L51" s="22">
        <v>580827465</v>
      </c>
      <c r="M51" s="63">
        <v>79</v>
      </c>
      <c r="N51" s="59">
        <v>641738468</v>
      </c>
      <c r="O51" s="59">
        <f>L51+N51</f>
        <v>1222565933</v>
      </c>
      <c r="P51" s="59">
        <f>L51/(1+E51)</f>
        <v>550547360.18957353</v>
      </c>
      <c r="Q51" s="59">
        <f>(P51*$Q$8)+P51</f>
        <v>575762429.28625596</v>
      </c>
      <c r="R51" s="59">
        <f>+L51-Q51</f>
        <v>5065035.7137440443</v>
      </c>
      <c r="S51" s="59">
        <f>N51/(1+E51)</f>
        <v>608282908.05687213</v>
      </c>
      <c r="T51" s="59">
        <f t="shared" si="50"/>
        <v>636142265.24587691</v>
      </c>
      <c r="U51" s="59">
        <f>N51-T51</f>
        <v>5596202.7541230917</v>
      </c>
      <c r="V51" s="60">
        <f t="shared" si="51"/>
        <v>10661238.467867136</v>
      </c>
      <c r="X51" s="107"/>
      <c r="Y51" s="107"/>
      <c r="Z51" s="108"/>
      <c r="AA51" s="108"/>
    </row>
    <row r="52" spans="2:27" x14ac:dyDescent="0.2">
      <c r="B52" s="24" t="s">
        <v>219</v>
      </c>
      <c r="C52" s="63"/>
      <c r="D52" s="22"/>
      <c r="E52" s="23"/>
      <c r="F52" s="22"/>
      <c r="G52" s="23"/>
      <c r="H52" s="22"/>
      <c r="I52" s="23"/>
      <c r="J52" s="22"/>
      <c r="K52" s="63"/>
      <c r="L52" s="223"/>
      <c r="M52" s="63"/>
      <c r="N52" s="223"/>
      <c r="O52" s="64"/>
      <c r="P52" s="5"/>
      <c r="Q52" s="61"/>
      <c r="R52" s="61"/>
      <c r="S52" s="61"/>
      <c r="T52" s="61"/>
      <c r="U52" s="61"/>
      <c r="V52" s="62"/>
      <c r="X52" s="107"/>
      <c r="Y52" s="107"/>
      <c r="Z52" s="108"/>
      <c r="AA52" s="108"/>
    </row>
    <row r="53" spans="2:27" x14ac:dyDescent="0.2">
      <c r="B53" s="20" t="s">
        <v>373</v>
      </c>
      <c r="C53" s="63">
        <v>136</v>
      </c>
      <c r="D53" s="22">
        <v>12858000</v>
      </c>
      <c r="E53" s="32">
        <v>5.5E-2</v>
      </c>
      <c r="F53" s="22">
        <f t="shared" ref="F53:F60" si="52">+ROUND((D53*E53)+D53,-3)</f>
        <v>13565000</v>
      </c>
      <c r="G53" s="32">
        <v>1.4999999999999999E-2</v>
      </c>
      <c r="H53" s="22">
        <f t="shared" si="48"/>
        <v>13768475</v>
      </c>
      <c r="I53" s="32">
        <v>0.02</v>
      </c>
      <c r="J53" s="22">
        <f t="shared" si="49"/>
        <v>13836300</v>
      </c>
      <c r="K53" s="63">
        <v>78</v>
      </c>
      <c r="L53" s="223">
        <v>1047047965</v>
      </c>
      <c r="M53" s="63">
        <v>88</v>
      </c>
      <c r="N53" s="223">
        <v>1182697965</v>
      </c>
      <c r="O53" s="59">
        <f t="shared" ref="O53:O60" si="53">L53+N53</f>
        <v>2229745930</v>
      </c>
      <c r="P53" s="59">
        <f t="shared" ref="P53:P60" si="54">L53/(1+E53)</f>
        <v>992462526.06635082</v>
      </c>
      <c r="Q53" s="59">
        <f t="shared" ref="Q53:Q60" si="55">(P53*$Q$8)+P53</f>
        <v>1037917309.7601897</v>
      </c>
      <c r="R53" s="59">
        <f t="shared" ref="R53:R60" si="56">+L53-Q53</f>
        <v>9130655.2398103476</v>
      </c>
      <c r="S53" s="59">
        <f t="shared" ref="S53:S60" si="57">N53/(1+E53)</f>
        <v>1121040725.1184835</v>
      </c>
      <c r="T53" s="59">
        <f t="shared" ref="T53:T60" si="58">(S53*$T$8)+S53</f>
        <v>1172384390.3289101</v>
      </c>
      <c r="U53" s="59">
        <f t="shared" ref="U53:U60" si="59">N53-T53</f>
        <v>10313574.671089888</v>
      </c>
      <c r="V53" s="60">
        <f t="shared" ref="V53:V60" si="60">R53+U53</f>
        <v>19444229.910900235</v>
      </c>
      <c r="X53" s="107"/>
      <c r="Y53" s="107"/>
      <c r="Z53" s="108"/>
      <c r="AA53" s="108"/>
    </row>
    <row r="54" spans="2:27" x14ac:dyDescent="0.2">
      <c r="B54" s="20" t="s">
        <v>374</v>
      </c>
      <c r="C54" s="63">
        <v>137</v>
      </c>
      <c r="D54" s="22">
        <v>12858000</v>
      </c>
      <c r="E54" s="32">
        <v>5.5E-2</v>
      </c>
      <c r="F54" s="22">
        <f t="shared" si="52"/>
        <v>13565000</v>
      </c>
      <c r="G54" s="32">
        <v>1.4999999999999999E-2</v>
      </c>
      <c r="H54" s="22">
        <f t="shared" ref="H54:H56" si="61">+(F54*G54)+F54</f>
        <v>13768475</v>
      </c>
      <c r="I54" s="32">
        <v>0.02</v>
      </c>
      <c r="J54" s="22">
        <f t="shared" ref="J54:J56" si="62">+(F54*I54)+F54</f>
        <v>13836300</v>
      </c>
      <c r="K54" s="63">
        <v>78</v>
      </c>
      <c r="L54" s="223">
        <v>1047047965</v>
      </c>
      <c r="M54" s="63">
        <v>88</v>
      </c>
      <c r="N54" s="223">
        <v>1182697965</v>
      </c>
      <c r="O54" s="59">
        <f t="shared" si="53"/>
        <v>2229745930</v>
      </c>
      <c r="P54" s="59">
        <f t="shared" si="54"/>
        <v>992462526.06635082</v>
      </c>
      <c r="Q54" s="59">
        <f t="shared" si="55"/>
        <v>1037917309.7601897</v>
      </c>
      <c r="R54" s="59">
        <f t="shared" si="56"/>
        <v>9130655.2398103476</v>
      </c>
      <c r="S54" s="59">
        <f t="shared" si="57"/>
        <v>1121040725.1184835</v>
      </c>
      <c r="T54" s="59">
        <f t="shared" si="58"/>
        <v>1172384390.3289101</v>
      </c>
      <c r="U54" s="59">
        <f t="shared" si="59"/>
        <v>10313574.671089888</v>
      </c>
      <c r="V54" s="60">
        <f t="shared" si="60"/>
        <v>19444229.910900235</v>
      </c>
      <c r="X54" s="107"/>
      <c r="Y54" s="107"/>
      <c r="Z54" s="108"/>
      <c r="AA54" s="108"/>
    </row>
    <row r="55" spans="2:27" x14ac:dyDescent="0.2">
      <c r="B55" s="20" t="s">
        <v>375</v>
      </c>
      <c r="C55" s="63">
        <v>136</v>
      </c>
      <c r="D55" s="22">
        <v>12858000</v>
      </c>
      <c r="E55" s="32">
        <v>5.5E-2</v>
      </c>
      <c r="F55" s="22">
        <f t="shared" si="52"/>
        <v>13565000</v>
      </c>
      <c r="G55" s="32">
        <v>1.4999999999999999E-2</v>
      </c>
      <c r="H55" s="22">
        <f t="shared" si="61"/>
        <v>13768475</v>
      </c>
      <c r="I55" s="32">
        <v>0.02</v>
      </c>
      <c r="J55" s="22">
        <f t="shared" si="62"/>
        <v>13836300</v>
      </c>
      <c r="K55" s="63">
        <v>66</v>
      </c>
      <c r="L55" s="223">
        <v>833218100</v>
      </c>
      <c r="M55" s="63">
        <v>100</v>
      </c>
      <c r="N55" s="223">
        <v>1273855300</v>
      </c>
      <c r="O55" s="59">
        <f t="shared" si="53"/>
        <v>2107073400</v>
      </c>
      <c r="P55" s="59">
        <f t="shared" si="54"/>
        <v>789780189.57345974</v>
      </c>
      <c r="Q55" s="59">
        <f t="shared" si="55"/>
        <v>825952122.25592422</v>
      </c>
      <c r="R55" s="59">
        <f t="shared" si="56"/>
        <v>7265977.7440757751</v>
      </c>
      <c r="S55" s="59">
        <f t="shared" si="57"/>
        <v>1207445781.9905214</v>
      </c>
      <c r="T55" s="59">
        <f t="shared" si="58"/>
        <v>1262746798.8056874</v>
      </c>
      <c r="U55" s="59">
        <f t="shared" si="59"/>
        <v>11108501.194312572</v>
      </c>
      <c r="V55" s="60">
        <f t="shared" si="60"/>
        <v>18374478.938388348</v>
      </c>
      <c r="X55" s="107"/>
      <c r="Y55" s="107"/>
      <c r="Z55" s="108"/>
      <c r="AA55" s="108"/>
    </row>
    <row r="56" spans="2:27" x14ac:dyDescent="0.2">
      <c r="B56" s="20" t="s">
        <v>376</v>
      </c>
      <c r="C56" s="63">
        <v>138</v>
      </c>
      <c r="D56" s="22">
        <v>12858000</v>
      </c>
      <c r="E56" s="32">
        <v>5.5E-2</v>
      </c>
      <c r="F56" s="22">
        <f t="shared" si="52"/>
        <v>13565000</v>
      </c>
      <c r="G56" s="32">
        <v>1.4999999999999999E-2</v>
      </c>
      <c r="H56" s="22">
        <f t="shared" si="61"/>
        <v>13768475</v>
      </c>
      <c r="I56" s="32">
        <v>0.02</v>
      </c>
      <c r="J56" s="22">
        <f t="shared" si="62"/>
        <v>13836300</v>
      </c>
      <c r="K56" s="63">
        <v>6</v>
      </c>
      <c r="L56" s="223">
        <v>81390000</v>
      </c>
      <c r="M56" s="63">
        <v>9</v>
      </c>
      <c r="N56" s="223">
        <v>122085000</v>
      </c>
      <c r="O56" s="59">
        <f t="shared" si="53"/>
        <v>203475000</v>
      </c>
      <c r="P56" s="59">
        <f t="shared" si="54"/>
        <v>77146919.431279629</v>
      </c>
      <c r="Q56" s="59">
        <f t="shared" si="55"/>
        <v>80680248.34123224</v>
      </c>
      <c r="R56" s="59">
        <f t="shared" si="56"/>
        <v>709751.6587677598</v>
      </c>
      <c r="S56" s="59">
        <f t="shared" si="57"/>
        <v>115720379.14691944</v>
      </c>
      <c r="T56" s="59">
        <f t="shared" si="58"/>
        <v>121020372.51184836</v>
      </c>
      <c r="U56" s="59">
        <f t="shared" si="59"/>
        <v>1064627.4881516397</v>
      </c>
      <c r="V56" s="60">
        <f t="shared" si="60"/>
        <v>1774379.1469193995</v>
      </c>
      <c r="X56" s="107"/>
      <c r="Y56" s="107"/>
      <c r="Z56" s="108"/>
      <c r="AA56" s="108"/>
    </row>
    <row r="57" spans="2:27" x14ac:dyDescent="0.2">
      <c r="B57" s="20" t="s">
        <v>67</v>
      </c>
      <c r="C57" s="63">
        <v>138</v>
      </c>
      <c r="D57" s="22">
        <v>12858000</v>
      </c>
      <c r="E57" s="32">
        <v>5.5E-2</v>
      </c>
      <c r="F57" s="22">
        <f t="shared" si="52"/>
        <v>13565000</v>
      </c>
      <c r="G57" s="32">
        <v>1.4999999999999999E-2</v>
      </c>
      <c r="H57" s="22">
        <f t="shared" ref="H57:H60" si="63">+(F57*G57)+F57</f>
        <v>13768475</v>
      </c>
      <c r="I57" s="32">
        <v>0.02</v>
      </c>
      <c r="J57" s="22">
        <f t="shared" ref="J57:J60" si="64">+(F57*I57)+F57</f>
        <v>13836300</v>
      </c>
      <c r="K57" s="63">
        <v>514</v>
      </c>
      <c r="L57" s="22">
        <v>6798047000</v>
      </c>
      <c r="M57" s="63">
        <v>484</v>
      </c>
      <c r="N57" s="59">
        <v>6374460000</v>
      </c>
      <c r="O57" s="59">
        <f t="shared" si="53"/>
        <v>13172507000</v>
      </c>
      <c r="P57" s="59">
        <f t="shared" si="54"/>
        <v>6443646445.4976311</v>
      </c>
      <c r="Q57" s="59">
        <f t="shared" si="55"/>
        <v>6738765452.7014227</v>
      </c>
      <c r="R57" s="59">
        <f t="shared" si="56"/>
        <v>59281547.298577309</v>
      </c>
      <c r="S57" s="59">
        <f t="shared" si="57"/>
        <v>6042142180.0947866</v>
      </c>
      <c r="T57" s="59">
        <f t="shared" si="58"/>
        <v>6318872291.9431276</v>
      </c>
      <c r="U57" s="59">
        <f t="shared" si="59"/>
        <v>55587708.056872368</v>
      </c>
      <c r="V57" s="60">
        <f t="shared" si="60"/>
        <v>114869255.35544968</v>
      </c>
      <c r="X57" s="107"/>
      <c r="Y57" s="107"/>
      <c r="Z57" s="108"/>
      <c r="AA57" s="108"/>
    </row>
    <row r="58" spans="2:27" x14ac:dyDescent="0.2">
      <c r="B58" s="20" t="s">
        <v>68</v>
      </c>
      <c r="C58" s="63">
        <v>160</v>
      </c>
      <c r="D58" s="22">
        <v>12858000</v>
      </c>
      <c r="E58" s="32">
        <v>5.5E-2</v>
      </c>
      <c r="F58" s="22">
        <f t="shared" si="52"/>
        <v>13565000</v>
      </c>
      <c r="G58" s="32">
        <v>1.4999999999999999E-2</v>
      </c>
      <c r="H58" s="22">
        <f t="shared" si="63"/>
        <v>13768475</v>
      </c>
      <c r="I58" s="32">
        <v>0.02</v>
      </c>
      <c r="J58" s="22">
        <f t="shared" si="64"/>
        <v>13836300</v>
      </c>
      <c r="K58" s="63">
        <v>315</v>
      </c>
      <c r="L58" s="22">
        <v>3947322815</v>
      </c>
      <c r="M58" s="63">
        <v>293</v>
      </c>
      <c r="N58" s="59">
        <v>3677805190</v>
      </c>
      <c r="O58" s="59">
        <f t="shared" si="53"/>
        <v>7625128005</v>
      </c>
      <c r="P58" s="59">
        <f t="shared" si="54"/>
        <v>3741538213.2701426</v>
      </c>
      <c r="Q58" s="59">
        <f t="shared" si="55"/>
        <v>3912900663.4379148</v>
      </c>
      <c r="R58" s="59">
        <f t="shared" si="56"/>
        <v>34422151.562085152</v>
      </c>
      <c r="S58" s="59">
        <f t="shared" si="57"/>
        <v>3486071270.1421804</v>
      </c>
      <c r="T58" s="59">
        <f t="shared" si="58"/>
        <v>3645733334.3146925</v>
      </c>
      <c r="U58" s="59">
        <f t="shared" si="59"/>
        <v>32071855.685307503</v>
      </c>
      <c r="V58" s="60">
        <f t="shared" si="60"/>
        <v>66494007.247392654</v>
      </c>
      <c r="X58" s="107"/>
      <c r="Y58" s="107"/>
      <c r="Z58" s="108"/>
      <c r="AA58" s="108"/>
    </row>
    <row r="59" spans="2:27" x14ac:dyDescent="0.2">
      <c r="B59" s="20" t="s">
        <v>69</v>
      </c>
      <c r="C59" s="63">
        <v>138</v>
      </c>
      <c r="D59" s="22">
        <v>12858000</v>
      </c>
      <c r="E59" s="32">
        <v>5.5E-2</v>
      </c>
      <c r="F59" s="22">
        <f t="shared" si="52"/>
        <v>13565000</v>
      </c>
      <c r="G59" s="32">
        <v>1.4999999999999999E-2</v>
      </c>
      <c r="H59" s="22">
        <f t="shared" si="63"/>
        <v>13768475</v>
      </c>
      <c r="I59" s="32">
        <v>0.02</v>
      </c>
      <c r="J59" s="22">
        <f t="shared" si="64"/>
        <v>13836300</v>
      </c>
      <c r="K59" s="63">
        <v>953</v>
      </c>
      <c r="L59" s="22">
        <v>11969565623</v>
      </c>
      <c r="M59" s="63">
        <v>915</v>
      </c>
      <c r="N59" s="59">
        <v>11385633773</v>
      </c>
      <c r="O59" s="59">
        <f t="shared" si="53"/>
        <v>23355199396</v>
      </c>
      <c r="P59" s="59">
        <f t="shared" si="54"/>
        <v>11345559832.227489</v>
      </c>
      <c r="Q59" s="59">
        <f t="shared" si="55"/>
        <v>11865186472.543509</v>
      </c>
      <c r="R59" s="59">
        <f t="shared" si="56"/>
        <v>104379150.45649147</v>
      </c>
      <c r="S59" s="59">
        <f t="shared" si="57"/>
        <v>10792069927.014219</v>
      </c>
      <c r="T59" s="59">
        <f t="shared" si="58"/>
        <v>11286346729.671471</v>
      </c>
      <c r="U59" s="59">
        <f t="shared" si="59"/>
        <v>99287043.328529358</v>
      </c>
      <c r="V59" s="60">
        <f t="shared" si="60"/>
        <v>203666193.78502083</v>
      </c>
      <c r="X59" s="107"/>
      <c r="Y59" s="107"/>
      <c r="Z59" s="108"/>
      <c r="AA59" s="108"/>
    </row>
    <row r="60" spans="2:27" x14ac:dyDescent="0.2">
      <c r="B60" s="20" t="s">
        <v>70</v>
      </c>
      <c r="C60" s="63">
        <v>138</v>
      </c>
      <c r="D60" s="22">
        <v>12858000</v>
      </c>
      <c r="E60" s="32">
        <v>5.5E-2</v>
      </c>
      <c r="F60" s="22">
        <f t="shared" si="52"/>
        <v>13565000</v>
      </c>
      <c r="G60" s="32">
        <v>1.4999999999999999E-2</v>
      </c>
      <c r="H60" s="22">
        <f t="shared" si="63"/>
        <v>13768475</v>
      </c>
      <c r="I60" s="32">
        <v>0.02</v>
      </c>
      <c r="J60" s="22">
        <f t="shared" si="64"/>
        <v>13836300</v>
      </c>
      <c r="K60" s="63">
        <v>522</v>
      </c>
      <c r="L60" s="22">
        <v>6332722500</v>
      </c>
      <c r="M60" s="63">
        <v>502</v>
      </c>
      <c r="N60" s="59">
        <v>6200981250</v>
      </c>
      <c r="O60" s="59">
        <f t="shared" si="53"/>
        <v>12533703750</v>
      </c>
      <c r="P60" s="59">
        <f t="shared" si="54"/>
        <v>6002580568.7203798</v>
      </c>
      <c r="Q60" s="59">
        <f t="shared" si="55"/>
        <v>6277498758.7677736</v>
      </c>
      <c r="R60" s="59">
        <f t="shared" si="56"/>
        <v>55223741.232226372</v>
      </c>
      <c r="S60" s="59">
        <f t="shared" si="57"/>
        <v>5877707345.9715643</v>
      </c>
      <c r="T60" s="59">
        <f t="shared" si="58"/>
        <v>6146906342.4170618</v>
      </c>
      <c r="U60" s="59">
        <f t="shared" si="59"/>
        <v>54074907.582938194</v>
      </c>
      <c r="V60" s="60">
        <f t="shared" si="60"/>
        <v>109298648.81516457</v>
      </c>
      <c r="X60" s="107"/>
      <c r="Y60" s="107"/>
      <c r="Z60" s="108"/>
      <c r="AA60" s="108"/>
    </row>
    <row r="61" spans="2:27" x14ac:dyDescent="0.2">
      <c r="B61" s="24" t="s">
        <v>220</v>
      </c>
      <c r="C61" s="63"/>
      <c r="D61" s="22"/>
      <c r="E61" s="23"/>
      <c r="F61" s="22"/>
      <c r="G61" s="23"/>
      <c r="H61" s="22"/>
      <c r="I61" s="23"/>
      <c r="J61" s="22"/>
      <c r="K61" s="63"/>
      <c r="L61" s="223"/>
      <c r="M61" s="63"/>
      <c r="N61" s="223"/>
      <c r="O61" s="64"/>
      <c r="P61" s="5"/>
      <c r="Q61" s="61"/>
      <c r="R61" s="61"/>
      <c r="S61" s="61"/>
      <c r="T61" s="61"/>
      <c r="U61" s="61"/>
      <c r="V61" s="62"/>
      <c r="X61" s="107"/>
      <c r="Y61" s="107"/>
      <c r="Z61" s="108"/>
      <c r="AA61" s="108"/>
    </row>
    <row r="62" spans="2:27" x14ac:dyDescent="0.2">
      <c r="B62" s="20" t="s">
        <v>346</v>
      </c>
      <c r="C62" s="63">
        <v>300</v>
      </c>
      <c r="D62" s="22">
        <v>24950000</v>
      </c>
      <c r="E62" s="32">
        <v>5.5E-2</v>
      </c>
      <c r="F62" s="22">
        <f t="shared" ref="F62:F64" si="65">+ROUND((D62*E62)+D62,-3)</f>
        <v>26322000</v>
      </c>
      <c r="G62" s="32">
        <v>1.4999999999999999E-2</v>
      </c>
      <c r="H62" s="22">
        <f>+(F62*G62)+F62</f>
        <v>26716830</v>
      </c>
      <c r="I62" s="23"/>
      <c r="J62" s="22"/>
      <c r="K62" s="63">
        <v>452</v>
      </c>
      <c r="L62" s="22">
        <v>10379228200</v>
      </c>
      <c r="M62" s="63">
        <v>455</v>
      </c>
      <c r="N62" s="59">
        <v>10630622100</v>
      </c>
      <c r="O62" s="59">
        <f>L62+N62</f>
        <v>21009850300</v>
      </c>
      <c r="P62" s="59">
        <f>L62/(1+E62)</f>
        <v>9838130995.260664</v>
      </c>
      <c r="Q62" s="59">
        <f>(P62*$Q$8)+P62</f>
        <v>10288717394.843603</v>
      </c>
      <c r="R62" s="59">
        <f>+L62-Q62</f>
        <v>90510805.156396866</v>
      </c>
      <c r="S62" s="59">
        <f>N62/(1+E62)</f>
        <v>10076419052.132702</v>
      </c>
      <c r="T62" s="59">
        <f t="shared" ref="T62:T64" si="66">(S62*$T$8)+S62</f>
        <v>10537919044.720379</v>
      </c>
      <c r="U62" s="59">
        <f>N62-T62</f>
        <v>92703055.279621124</v>
      </c>
      <c r="V62" s="60">
        <f t="shared" ref="V62:V64" si="67">R62+U62</f>
        <v>183213860.43601799</v>
      </c>
      <c r="X62" s="107"/>
      <c r="Y62" s="107"/>
      <c r="Z62" s="108"/>
      <c r="AA62" s="108"/>
    </row>
    <row r="63" spans="2:27" x14ac:dyDescent="0.2">
      <c r="B63" s="20" t="s">
        <v>334</v>
      </c>
      <c r="C63" s="63">
        <v>300</v>
      </c>
      <c r="D63" s="22">
        <v>23919000</v>
      </c>
      <c r="E63" s="32">
        <v>5.5E-2</v>
      </c>
      <c r="F63" s="22">
        <f t="shared" si="65"/>
        <v>25235000</v>
      </c>
      <c r="G63" s="32">
        <v>1.4999999999999999E-2</v>
      </c>
      <c r="H63" s="22">
        <f>+(F63*G63)+F63</f>
        <v>25613525</v>
      </c>
      <c r="I63" s="32"/>
      <c r="J63" s="22"/>
      <c r="K63" s="63">
        <v>162</v>
      </c>
      <c r="L63" s="22">
        <v>4088070000</v>
      </c>
      <c r="M63" s="63">
        <v>162</v>
      </c>
      <c r="N63" s="59">
        <v>4088070000</v>
      </c>
      <c r="O63" s="59">
        <f>L63+N63</f>
        <v>8176140000</v>
      </c>
      <c r="P63" s="59">
        <f>L63/(1+E63)</f>
        <v>3874947867.2985783</v>
      </c>
      <c r="Q63" s="59">
        <f>(P63*$Q$8)+P63</f>
        <v>4052420479.6208529</v>
      </c>
      <c r="R63" s="59">
        <f>+L63-Q63</f>
        <v>35649520.379147053</v>
      </c>
      <c r="S63" s="59">
        <f>N63/(1+E63)</f>
        <v>3874947867.2985783</v>
      </c>
      <c r="T63" s="59">
        <f t="shared" si="66"/>
        <v>4052420479.6208529</v>
      </c>
      <c r="U63" s="59">
        <f>N63-T63</f>
        <v>35649520.379147053</v>
      </c>
      <c r="V63" s="60">
        <f t="shared" si="67"/>
        <v>71299040.758294106</v>
      </c>
      <c r="X63" s="107"/>
      <c r="Y63" s="107"/>
      <c r="Z63" s="108"/>
      <c r="AA63" s="108"/>
    </row>
    <row r="64" spans="2:27" x14ac:dyDescent="0.2">
      <c r="B64" s="20" t="s">
        <v>333</v>
      </c>
      <c r="C64" s="63">
        <v>300</v>
      </c>
      <c r="D64" s="22">
        <v>22626000</v>
      </c>
      <c r="E64" s="32">
        <v>5.5E-2</v>
      </c>
      <c r="F64" s="22">
        <f t="shared" si="65"/>
        <v>23870000</v>
      </c>
      <c r="G64" s="32">
        <v>1.4999999999999999E-2</v>
      </c>
      <c r="H64" s="22">
        <f>+(F64*G64)+F64</f>
        <v>24228050</v>
      </c>
      <c r="I64" s="32"/>
      <c r="J64" s="22"/>
      <c r="K64" s="63">
        <v>365</v>
      </c>
      <c r="L64" s="22">
        <v>8712550000</v>
      </c>
      <c r="M64" s="63">
        <v>367</v>
      </c>
      <c r="N64" s="59">
        <v>8760290000</v>
      </c>
      <c r="O64" s="59">
        <f>L64+N64</f>
        <v>17472840000</v>
      </c>
      <c r="P64" s="59">
        <f>L64/(1+E64)</f>
        <v>8258341232.2274885</v>
      </c>
      <c r="Q64" s="59">
        <f>(P64*$Q$8)+P64</f>
        <v>8636573260.6635075</v>
      </c>
      <c r="R64" s="59">
        <f>+L64-Q64</f>
        <v>75976739.336492538</v>
      </c>
      <c r="S64" s="59">
        <f>N64/(1+E64)</f>
        <v>8303592417.0616121</v>
      </c>
      <c r="T64" s="59">
        <f t="shared" si="66"/>
        <v>8683896949.7630348</v>
      </c>
      <c r="U64" s="59">
        <f>N64-T64</f>
        <v>76393050.236965179</v>
      </c>
      <c r="V64" s="60">
        <f t="shared" si="67"/>
        <v>152369789.57345772</v>
      </c>
      <c r="X64" s="107"/>
      <c r="Y64" s="107"/>
      <c r="Z64" s="108"/>
      <c r="AA64" s="108"/>
    </row>
    <row r="65" spans="2:27" x14ac:dyDescent="0.2">
      <c r="B65" s="24" t="s">
        <v>221</v>
      </c>
      <c r="C65" s="63"/>
      <c r="D65" s="22"/>
      <c r="E65" s="23"/>
      <c r="F65" s="22"/>
      <c r="G65" s="23"/>
      <c r="H65" s="22"/>
      <c r="I65" s="23"/>
      <c r="J65" s="22"/>
      <c r="K65" s="63"/>
      <c r="L65" s="223"/>
      <c r="M65" s="63"/>
      <c r="N65" s="223"/>
      <c r="O65" s="64"/>
      <c r="P65" s="5"/>
      <c r="Q65" s="61"/>
      <c r="R65" s="61"/>
      <c r="S65" s="61"/>
      <c r="T65" s="61"/>
      <c r="U65" s="61"/>
      <c r="V65" s="62"/>
      <c r="X65" s="107"/>
      <c r="Y65" s="107"/>
      <c r="Z65" s="108"/>
      <c r="AA65" s="108"/>
    </row>
    <row r="66" spans="2:27" x14ac:dyDescent="0.2">
      <c r="B66" s="20" t="s">
        <v>71</v>
      </c>
      <c r="C66" s="63">
        <v>144</v>
      </c>
      <c r="D66" s="22">
        <v>11498000</v>
      </c>
      <c r="E66" s="32">
        <v>5.5E-2</v>
      </c>
      <c r="F66" s="22">
        <f t="shared" ref="F66" si="68">+ROUND((D66*E66)+D66,-3)</f>
        <v>12130000</v>
      </c>
      <c r="G66" s="32">
        <v>1.4999999999999999E-2</v>
      </c>
      <c r="H66" s="22">
        <f>+(F66*G66)+F66</f>
        <v>12311950</v>
      </c>
      <c r="I66" s="32">
        <v>0.02</v>
      </c>
      <c r="J66" s="22">
        <f>+(F66*I66)+F66</f>
        <v>12372600</v>
      </c>
      <c r="K66" s="63">
        <v>807</v>
      </c>
      <c r="L66" s="22">
        <v>9867128830</v>
      </c>
      <c r="M66" s="63">
        <v>806</v>
      </c>
      <c r="N66" s="59">
        <v>9854998830</v>
      </c>
      <c r="O66" s="59">
        <f>L66+N66</f>
        <v>19722127660</v>
      </c>
      <c r="P66" s="59">
        <f>L66/(1+E66)</f>
        <v>9352728748.8151665</v>
      </c>
      <c r="Q66" s="59">
        <f>(P66*$Q$8)+P66</f>
        <v>9781083725.5109005</v>
      </c>
      <c r="R66" s="59">
        <f>+L66-Q66</f>
        <v>86045104.489099503</v>
      </c>
      <c r="S66" s="59">
        <f>N66/(1+E66)</f>
        <v>9341231118.4834137</v>
      </c>
      <c r="T66" s="59">
        <f>(S66*$T$8)+S66</f>
        <v>9769059503.7099533</v>
      </c>
      <c r="U66" s="59">
        <f>N66-T66</f>
        <v>85939326.290046692</v>
      </c>
      <c r="V66" s="60">
        <f>R66+U66</f>
        <v>171984430.77914619</v>
      </c>
      <c r="X66" s="107"/>
      <c r="Y66" s="107"/>
      <c r="Z66" s="108"/>
      <c r="AA66" s="108"/>
    </row>
    <row r="67" spans="2:27" x14ac:dyDescent="0.2">
      <c r="B67" s="24" t="s">
        <v>222</v>
      </c>
      <c r="C67" s="63"/>
      <c r="D67" s="22"/>
      <c r="E67" s="23"/>
      <c r="F67" s="22"/>
      <c r="G67" s="23"/>
      <c r="H67" s="22"/>
      <c r="I67" s="23"/>
      <c r="J67" s="22"/>
      <c r="K67" s="63"/>
      <c r="L67" s="223"/>
      <c r="M67" s="63"/>
      <c r="N67" s="223"/>
      <c r="O67" s="64"/>
      <c r="P67" s="5"/>
      <c r="Q67" s="61"/>
      <c r="R67" s="61"/>
      <c r="S67" s="61"/>
      <c r="T67" s="61"/>
      <c r="U67" s="61"/>
      <c r="V67" s="62"/>
      <c r="X67" s="107"/>
      <c r="Y67" s="107"/>
      <c r="Z67" s="108"/>
      <c r="AA67" s="108"/>
    </row>
    <row r="68" spans="2:27" x14ac:dyDescent="0.2">
      <c r="B68" s="20" t="s">
        <v>583</v>
      </c>
      <c r="C68" s="63">
        <v>170</v>
      </c>
      <c r="D68" s="22">
        <v>12596000</v>
      </c>
      <c r="E68" s="32">
        <v>5.5E-2</v>
      </c>
      <c r="F68" s="22">
        <f t="shared" ref="F68" si="69">+ROUND((D68*E68)+D68,-3)</f>
        <v>13289000</v>
      </c>
      <c r="G68" s="32">
        <v>1.4999999999999999E-2</v>
      </c>
      <c r="H68" s="22">
        <f>+(F68*G68)+F68</f>
        <v>13488335</v>
      </c>
      <c r="I68" s="32"/>
      <c r="J68" s="22"/>
      <c r="K68" s="63">
        <v>286</v>
      </c>
      <c r="L68" s="22">
        <v>3635654000</v>
      </c>
      <c r="M68" s="63">
        <v>276</v>
      </c>
      <c r="N68" s="59">
        <v>3487764000</v>
      </c>
      <c r="O68" s="59">
        <f>L68+N68</f>
        <v>7123418000</v>
      </c>
      <c r="P68" s="59">
        <f>L68/(1+E68)</f>
        <v>3446117535.5450239</v>
      </c>
      <c r="Q68" s="59">
        <f>(P68*$Q$8)+P68</f>
        <v>3603949718.672986</v>
      </c>
      <c r="R68" s="59">
        <f>+L68-Q68</f>
        <v>31704281.327013969</v>
      </c>
      <c r="S68" s="59">
        <f>N68/(1+E68)</f>
        <v>3305937440.7582941</v>
      </c>
      <c r="T68" s="59">
        <f>(S68*$T$8)+S68</f>
        <v>3457349375.5450239</v>
      </c>
      <c r="U68" s="59">
        <f>N68-T68</f>
        <v>30414624.454976082</v>
      </c>
      <c r="V68" s="60">
        <f>R68+U68</f>
        <v>62118905.781990051</v>
      </c>
      <c r="X68" s="107"/>
      <c r="Y68" s="107"/>
      <c r="Z68" s="108"/>
      <c r="AA68" s="108"/>
    </row>
    <row r="69" spans="2:27" x14ac:dyDescent="0.2">
      <c r="B69" s="24" t="s">
        <v>674</v>
      </c>
      <c r="C69" s="63"/>
      <c r="D69" s="22"/>
      <c r="E69" s="23"/>
      <c r="F69" s="22"/>
      <c r="G69" s="23"/>
      <c r="H69" s="22"/>
      <c r="I69" s="23"/>
      <c r="J69" s="22"/>
      <c r="K69" s="63"/>
      <c r="L69" s="223"/>
      <c r="M69" s="63"/>
      <c r="N69" s="223"/>
      <c r="O69" s="64"/>
      <c r="P69" s="5"/>
      <c r="Q69" s="61"/>
      <c r="R69" s="61"/>
      <c r="S69" s="61"/>
      <c r="T69" s="61"/>
      <c r="U69" s="61"/>
      <c r="V69" s="62"/>
      <c r="X69" s="107"/>
      <c r="Y69" s="107"/>
      <c r="Z69" s="108"/>
      <c r="AA69" s="108"/>
    </row>
    <row r="70" spans="2:27" x14ac:dyDescent="0.2">
      <c r="B70" s="20" t="s">
        <v>322</v>
      </c>
      <c r="C70" s="63">
        <v>165</v>
      </c>
      <c r="D70" s="22">
        <v>11528000</v>
      </c>
      <c r="E70" s="32">
        <v>5.5E-2</v>
      </c>
      <c r="F70" s="22">
        <f t="shared" ref="F70:F71" si="70">+ROUND((D70*E70)+D70,-3)</f>
        <v>12162000</v>
      </c>
      <c r="G70" s="32">
        <v>1.4999999999999999E-2</v>
      </c>
      <c r="H70" s="22">
        <f>+(F70*G70)+F70</f>
        <v>12344430</v>
      </c>
      <c r="I70" s="32">
        <v>0.02</v>
      </c>
      <c r="J70" s="22">
        <f t="shared" ref="J70:J71" si="71">+(F70*I70)+F70</f>
        <v>12405240</v>
      </c>
      <c r="K70" s="63">
        <v>375</v>
      </c>
      <c r="L70" s="22">
        <v>4607938844</v>
      </c>
      <c r="M70" s="63">
        <v>355</v>
      </c>
      <c r="N70" s="59">
        <v>4387318525</v>
      </c>
      <c r="O70" s="59">
        <f>L70+N70</f>
        <v>8995257369</v>
      </c>
      <c r="P70" s="59">
        <f>L70/(1+E70)</f>
        <v>4367714544.0758295</v>
      </c>
      <c r="Q70" s="59">
        <f>(P70*$Q$8)+P70</f>
        <v>4567755870.1945028</v>
      </c>
      <c r="R70" s="59">
        <f>+L70-Q70</f>
        <v>40182973.805497169</v>
      </c>
      <c r="S70" s="59">
        <f>N70/(1+E70)</f>
        <v>4158595758.293839</v>
      </c>
      <c r="T70" s="59">
        <f t="shared" ref="T70:T71" si="72">(S70*$T$8)+S70</f>
        <v>4349059444.0236969</v>
      </c>
      <c r="U70" s="59">
        <f>N70-T70</f>
        <v>38259080.976303101</v>
      </c>
      <c r="V70" s="60">
        <f t="shared" ref="V70:V71" si="73">R70+U70</f>
        <v>78442054.78180027</v>
      </c>
      <c r="X70" s="107"/>
      <c r="Y70" s="107"/>
      <c r="Z70" s="108"/>
      <c r="AA70" s="108"/>
    </row>
    <row r="71" spans="2:27" x14ac:dyDescent="0.2">
      <c r="B71" s="20" t="s">
        <v>72</v>
      </c>
      <c r="C71" s="63">
        <v>169</v>
      </c>
      <c r="D71" s="22">
        <v>11528000</v>
      </c>
      <c r="E71" s="32">
        <v>5.5E-2</v>
      </c>
      <c r="F71" s="22">
        <f t="shared" si="70"/>
        <v>12162000</v>
      </c>
      <c r="G71" s="32">
        <v>1.4999999999999999E-2</v>
      </c>
      <c r="H71" s="22">
        <f t="shared" ref="H71" si="74">+(F71*G71)+F71</f>
        <v>12344430</v>
      </c>
      <c r="I71" s="32">
        <v>0.02</v>
      </c>
      <c r="J71" s="22">
        <f t="shared" si="71"/>
        <v>12405240</v>
      </c>
      <c r="K71" s="63">
        <v>550</v>
      </c>
      <c r="L71" s="22">
        <v>6588716627</v>
      </c>
      <c r="M71" s="63">
        <v>573</v>
      </c>
      <c r="N71" s="59">
        <v>6896925326</v>
      </c>
      <c r="O71" s="59">
        <f>L71+N71</f>
        <v>13485641953</v>
      </c>
      <c r="P71" s="59">
        <f>L71/(1+E71)</f>
        <v>6245229030.3317537</v>
      </c>
      <c r="Q71" s="59">
        <f>(P71*$Q$8)+P71</f>
        <v>6531260519.920948</v>
      </c>
      <c r="R71" s="59">
        <f>+L71-Q71</f>
        <v>57456107.079051971</v>
      </c>
      <c r="S71" s="59">
        <f>N71/(1+E71)</f>
        <v>6537369977.2511854</v>
      </c>
      <c r="T71" s="59">
        <f t="shared" si="72"/>
        <v>6836781522.2092896</v>
      </c>
      <c r="U71" s="59">
        <f>N71-T71</f>
        <v>60143803.790710449</v>
      </c>
      <c r="V71" s="60">
        <f t="shared" si="73"/>
        <v>117599910.86976242</v>
      </c>
      <c r="X71" s="107"/>
      <c r="Y71" s="107"/>
      <c r="Z71" s="108"/>
      <c r="AA71" s="108"/>
    </row>
    <row r="72" spans="2:27" x14ac:dyDescent="0.2">
      <c r="B72" s="24" t="s">
        <v>223</v>
      </c>
      <c r="C72" s="63"/>
      <c r="D72" s="22"/>
      <c r="E72" s="23"/>
      <c r="F72" s="22"/>
      <c r="G72" s="23"/>
      <c r="H72" s="22"/>
      <c r="I72" s="23"/>
      <c r="J72" s="22"/>
      <c r="K72" s="63"/>
      <c r="L72" s="223"/>
      <c r="M72" s="63"/>
      <c r="N72" s="223"/>
      <c r="O72" s="64"/>
      <c r="P72" s="5"/>
      <c r="Q72" s="61"/>
      <c r="R72" s="61"/>
      <c r="S72" s="61"/>
      <c r="T72" s="61"/>
      <c r="U72" s="61"/>
      <c r="V72" s="62"/>
      <c r="X72" s="107"/>
      <c r="Y72" s="107"/>
      <c r="Z72" s="108"/>
      <c r="AA72" s="108"/>
    </row>
    <row r="73" spans="2:27" x14ac:dyDescent="0.2">
      <c r="B73" s="20" t="s">
        <v>73</v>
      </c>
      <c r="C73" s="63">
        <v>170</v>
      </c>
      <c r="D73" s="22">
        <v>9466000</v>
      </c>
      <c r="E73" s="32">
        <v>5.5E-2</v>
      </c>
      <c r="F73" s="22">
        <f t="shared" ref="F73" si="75">+ROUND((D73*E73)+D73,-3)</f>
        <v>9987000</v>
      </c>
      <c r="G73" s="32">
        <v>1.4999999999999999E-2</v>
      </c>
      <c r="H73" s="22">
        <f>+(F73*G73)+F73</f>
        <v>10136805</v>
      </c>
      <c r="I73" s="32">
        <v>0.02</v>
      </c>
      <c r="J73" s="22">
        <f>+(F73*I73)+F73</f>
        <v>10186740</v>
      </c>
      <c r="K73" s="63">
        <v>166</v>
      </c>
      <c r="L73" s="22">
        <v>1574117854</v>
      </c>
      <c r="M73" s="63">
        <v>155</v>
      </c>
      <c r="N73" s="59">
        <v>1539870520</v>
      </c>
      <c r="O73" s="59">
        <f>L73+N73</f>
        <v>3113988374</v>
      </c>
      <c r="P73" s="59">
        <f>L73/(1+E73)</f>
        <v>1492054837.9146919</v>
      </c>
      <c r="Q73" s="59">
        <f>(P73*$Q$8)+P73</f>
        <v>1560390949.4911847</v>
      </c>
      <c r="R73" s="59">
        <f>+L73-Q73</f>
        <v>13726904.508815289</v>
      </c>
      <c r="S73" s="59">
        <f>N73/(1+E73)</f>
        <v>1459592909.9526067</v>
      </c>
      <c r="T73" s="59">
        <f>(S73*$T$8)+S73</f>
        <v>1526442265.228436</v>
      </c>
      <c r="U73" s="59">
        <f>N73-T73</f>
        <v>13428254.771564007</v>
      </c>
      <c r="V73" s="60">
        <f>R73+U73</f>
        <v>27155159.280379295</v>
      </c>
      <c r="X73" s="107"/>
      <c r="Y73" s="107"/>
      <c r="Z73" s="108"/>
      <c r="AA73" s="108"/>
    </row>
    <row r="74" spans="2:27" x14ac:dyDescent="0.2">
      <c r="B74" s="24" t="s">
        <v>224</v>
      </c>
      <c r="C74" s="63"/>
      <c r="D74" s="22"/>
      <c r="E74" s="23"/>
      <c r="F74" s="22"/>
      <c r="G74" s="23"/>
      <c r="H74" s="22"/>
      <c r="I74" s="23"/>
      <c r="J74" s="22"/>
      <c r="K74" s="63"/>
      <c r="L74" s="223"/>
      <c r="M74" s="63"/>
      <c r="N74" s="223"/>
      <c r="O74" s="64"/>
      <c r="P74" s="5"/>
      <c r="Q74" s="61"/>
      <c r="R74" s="61"/>
      <c r="S74" s="61"/>
      <c r="T74" s="61"/>
      <c r="U74" s="61"/>
      <c r="V74" s="62"/>
      <c r="X74" s="107"/>
      <c r="Y74" s="107"/>
      <c r="Z74" s="108"/>
      <c r="AA74" s="108"/>
    </row>
    <row r="75" spans="2:27" x14ac:dyDescent="0.2">
      <c r="B75" s="20" t="s">
        <v>74</v>
      </c>
      <c r="C75" s="63">
        <v>144</v>
      </c>
      <c r="D75" s="22">
        <v>6305000</v>
      </c>
      <c r="E75" s="32">
        <v>5.5E-2</v>
      </c>
      <c r="F75" s="22">
        <f t="shared" ref="F75:F80" si="76">+ROUND((D75*E75)+D75,-3)</f>
        <v>6652000</v>
      </c>
      <c r="G75" s="32">
        <v>1.4999999999999999E-2</v>
      </c>
      <c r="H75" s="22">
        <f t="shared" ref="H75:H80" si="77">+(F75*G75)+F75</f>
        <v>6751780</v>
      </c>
      <c r="I75" s="32">
        <v>0.02</v>
      </c>
      <c r="J75" s="22">
        <f t="shared" ref="J75:J87" si="78">+(F75*I75)+F75</f>
        <v>6785040</v>
      </c>
      <c r="K75" s="63">
        <v>101</v>
      </c>
      <c r="L75" s="22">
        <v>567852000</v>
      </c>
      <c r="M75" s="63">
        <v>96</v>
      </c>
      <c r="N75" s="59">
        <v>553941000</v>
      </c>
      <c r="O75" s="59">
        <f t="shared" ref="O75:O80" si="79">L75+N75</f>
        <v>1121793000</v>
      </c>
      <c r="P75" s="59">
        <f t="shared" ref="P75:P80" si="80">L75/(1+E75)</f>
        <v>538248341.23222756</v>
      </c>
      <c r="Q75" s="59">
        <f t="shared" ref="Q75:Q80" si="81">(P75*$Q$8)+P75</f>
        <v>562900115.26066363</v>
      </c>
      <c r="R75" s="59">
        <f t="shared" ref="R75:R80" si="82">+L75-Q75</f>
        <v>4951884.7393363714</v>
      </c>
      <c r="S75" s="59">
        <f t="shared" ref="S75:S80" si="83">N75/(1+E75)</f>
        <v>525062559.24170619</v>
      </c>
      <c r="T75" s="59">
        <f t="shared" ref="T75:T80" si="84">(S75*$T$8)+S75</f>
        <v>549110424.45497632</v>
      </c>
      <c r="U75" s="59">
        <f t="shared" ref="U75:U80" si="85">N75-T75</f>
        <v>4830575.5450236797</v>
      </c>
      <c r="V75" s="60">
        <f t="shared" ref="V75:V80" si="86">R75+U75</f>
        <v>9782460.2843600512</v>
      </c>
      <c r="X75" s="107"/>
      <c r="Y75" s="107"/>
      <c r="Z75" s="108"/>
      <c r="AA75" s="108"/>
    </row>
    <row r="76" spans="2:27" x14ac:dyDescent="0.2">
      <c r="B76" s="20" t="s">
        <v>75</v>
      </c>
      <c r="C76" s="63">
        <v>180</v>
      </c>
      <c r="D76" s="22">
        <v>6305000</v>
      </c>
      <c r="E76" s="32">
        <v>5.5E-2</v>
      </c>
      <c r="F76" s="22">
        <f t="shared" si="76"/>
        <v>6652000</v>
      </c>
      <c r="G76" s="32">
        <v>1.4999999999999999E-2</v>
      </c>
      <c r="H76" s="22">
        <f t="shared" si="77"/>
        <v>6751780</v>
      </c>
      <c r="I76" s="32">
        <v>0.02</v>
      </c>
      <c r="J76" s="22">
        <f t="shared" si="78"/>
        <v>6785040</v>
      </c>
      <c r="K76" s="63">
        <v>21</v>
      </c>
      <c r="L76" s="22">
        <v>129192000</v>
      </c>
      <c r="M76" s="63">
        <v>23</v>
      </c>
      <c r="N76" s="59">
        <v>155496000</v>
      </c>
      <c r="O76" s="59">
        <f t="shared" si="79"/>
        <v>284688000</v>
      </c>
      <c r="P76" s="59">
        <f t="shared" si="80"/>
        <v>122456872.03791469</v>
      </c>
      <c r="Q76" s="59">
        <f t="shared" si="81"/>
        <v>128065396.77725118</v>
      </c>
      <c r="R76" s="59">
        <f t="shared" si="82"/>
        <v>1126603.222748816</v>
      </c>
      <c r="S76" s="59">
        <f t="shared" si="83"/>
        <v>147389573.45971563</v>
      </c>
      <c r="T76" s="59">
        <f t="shared" si="84"/>
        <v>154140015.92417061</v>
      </c>
      <c r="U76" s="59">
        <f t="shared" si="85"/>
        <v>1355984.0758293867</v>
      </c>
      <c r="V76" s="60">
        <f t="shared" si="86"/>
        <v>2482587.2985782027</v>
      </c>
      <c r="X76" s="107"/>
      <c r="Y76" s="107"/>
      <c r="Z76" s="108"/>
      <c r="AA76" s="108"/>
    </row>
    <row r="77" spans="2:27" x14ac:dyDescent="0.2">
      <c r="B77" s="20" t="s">
        <v>323</v>
      </c>
      <c r="C77" s="63">
        <v>173</v>
      </c>
      <c r="D77" s="22">
        <v>6305000</v>
      </c>
      <c r="E77" s="32">
        <v>5.5E-2</v>
      </c>
      <c r="F77" s="22">
        <f t="shared" si="76"/>
        <v>6652000</v>
      </c>
      <c r="G77" s="32">
        <v>1.4999999999999999E-2</v>
      </c>
      <c r="H77" s="22">
        <f t="shared" si="77"/>
        <v>6751780</v>
      </c>
      <c r="I77" s="32">
        <v>0.02</v>
      </c>
      <c r="J77" s="22">
        <f t="shared" si="78"/>
        <v>6785040</v>
      </c>
      <c r="K77" s="63">
        <v>15</v>
      </c>
      <c r="L77" s="22">
        <v>69846000</v>
      </c>
      <c r="M77" s="63">
        <v>10</v>
      </c>
      <c r="N77" s="59">
        <v>46564000</v>
      </c>
      <c r="O77" s="59">
        <f t="shared" si="79"/>
        <v>116410000</v>
      </c>
      <c r="P77" s="59">
        <f t="shared" si="80"/>
        <v>66204739.336492896</v>
      </c>
      <c r="Q77" s="59">
        <f t="shared" si="81"/>
        <v>69236916.398104265</v>
      </c>
      <c r="R77" s="59">
        <f t="shared" si="82"/>
        <v>609083.60189573467</v>
      </c>
      <c r="S77" s="59">
        <f t="shared" si="83"/>
        <v>44136492.890995264</v>
      </c>
      <c r="T77" s="59">
        <f t="shared" si="84"/>
        <v>46157944.265402846</v>
      </c>
      <c r="U77" s="59">
        <f t="shared" si="85"/>
        <v>406055.73459715396</v>
      </c>
      <c r="V77" s="60">
        <f t="shared" si="86"/>
        <v>1015139.3364928886</v>
      </c>
      <c r="X77" s="107"/>
      <c r="Y77" s="107"/>
      <c r="Z77" s="108"/>
      <c r="AA77" s="108"/>
    </row>
    <row r="78" spans="2:27" x14ac:dyDescent="0.2">
      <c r="B78" s="20" t="s">
        <v>76</v>
      </c>
      <c r="C78" s="63">
        <v>160</v>
      </c>
      <c r="D78" s="22">
        <v>2793000</v>
      </c>
      <c r="E78" s="32">
        <v>5.5E-2</v>
      </c>
      <c r="F78" s="22">
        <f t="shared" si="76"/>
        <v>2947000</v>
      </c>
      <c r="G78" s="32">
        <v>1.4999999999999999E-2</v>
      </c>
      <c r="H78" s="22">
        <f t="shared" si="77"/>
        <v>2991205</v>
      </c>
      <c r="I78" s="32">
        <v>0.02</v>
      </c>
      <c r="J78" s="22">
        <f t="shared" si="78"/>
        <v>3005940</v>
      </c>
      <c r="K78" s="63">
        <v>0</v>
      </c>
      <c r="L78" s="22">
        <v>0</v>
      </c>
      <c r="M78" s="63">
        <v>0</v>
      </c>
      <c r="N78" s="59">
        <v>0</v>
      </c>
      <c r="O78" s="59">
        <f t="shared" si="79"/>
        <v>0</v>
      </c>
      <c r="P78" s="59">
        <f t="shared" si="80"/>
        <v>0</v>
      </c>
      <c r="Q78" s="59">
        <f t="shared" si="81"/>
        <v>0</v>
      </c>
      <c r="R78" s="59">
        <f t="shared" si="82"/>
        <v>0</v>
      </c>
      <c r="S78" s="59">
        <f t="shared" si="83"/>
        <v>0</v>
      </c>
      <c r="T78" s="59">
        <f t="shared" si="84"/>
        <v>0</v>
      </c>
      <c r="U78" s="59">
        <f t="shared" si="85"/>
        <v>0</v>
      </c>
      <c r="V78" s="60">
        <f t="shared" si="86"/>
        <v>0</v>
      </c>
      <c r="X78" s="107"/>
      <c r="Y78" s="107"/>
      <c r="Z78" s="108"/>
      <c r="AA78" s="108"/>
    </row>
    <row r="79" spans="2:27" x14ac:dyDescent="0.2">
      <c r="B79" s="20" t="s">
        <v>341</v>
      </c>
      <c r="C79" s="63">
        <v>166</v>
      </c>
      <c r="D79" s="22">
        <v>6305000</v>
      </c>
      <c r="E79" s="32">
        <v>5.5E-2</v>
      </c>
      <c r="F79" s="22">
        <f t="shared" si="76"/>
        <v>6652000</v>
      </c>
      <c r="G79" s="32">
        <v>1.4999999999999999E-2</v>
      </c>
      <c r="H79" s="22">
        <f t="shared" si="77"/>
        <v>6751780</v>
      </c>
      <c r="I79" s="32">
        <v>0.02</v>
      </c>
      <c r="J79" s="22">
        <f t="shared" si="78"/>
        <v>6785040</v>
      </c>
      <c r="K79" s="63">
        <v>42</v>
      </c>
      <c r="L79" s="22">
        <v>246384000</v>
      </c>
      <c r="M79" s="63">
        <v>39</v>
      </c>
      <c r="N79" s="59">
        <v>205928000</v>
      </c>
      <c r="O79" s="59">
        <f t="shared" si="79"/>
        <v>452312000</v>
      </c>
      <c r="P79" s="59">
        <f t="shared" si="80"/>
        <v>233539336.49289101</v>
      </c>
      <c r="Q79" s="59">
        <f t="shared" si="81"/>
        <v>244235438.10426542</v>
      </c>
      <c r="R79" s="59">
        <f t="shared" si="82"/>
        <v>2148561.8957345784</v>
      </c>
      <c r="S79" s="59">
        <f t="shared" si="83"/>
        <v>195192417.06161138</v>
      </c>
      <c r="T79" s="59">
        <f t="shared" si="84"/>
        <v>204132229.76303318</v>
      </c>
      <c r="U79" s="59">
        <f t="shared" si="85"/>
        <v>1795770.2369668186</v>
      </c>
      <c r="V79" s="60">
        <f t="shared" si="86"/>
        <v>3944332.1327013969</v>
      </c>
      <c r="X79" s="107"/>
      <c r="Y79" s="107"/>
      <c r="Z79" s="108"/>
      <c r="AA79" s="108"/>
    </row>
    <row r="80" spans="2:27" x14ac:dyDescent="0.2">
      <c r="B80" s="20" t="s">
        <v>355</v>
      </c>
      <c r="C80" s="63">
        <v>118</v>
      </c>
      <c r="D80" s="22">
        <v>3675000</v>
      </c>
      <c r="E80" s="32">
        <v>5.5E-2</v>
      </c>
      <c r="F80" s="22">
        <f t="shared" si="76"/>
        <v>3877000</v>
      </c>
      <c r="G80" s="32">
        <v>1.4999999999999999E-2</v>
      </c>
      <c r="H80" s="22">
        <f t="shared" si="77"/>
        <v>3935155</v>
      </c>
      <c r="I80" s="32">
        <v>0.02</v>
      </c>
      <c r="J80" s="22">
        <f t="shared" si="78"/>
        <v>3954540</v>
      </c>
      <c r="K80" s="63">
        <v>9</v>
      </c>
      <c r="L80" s="22">
        <v>34893000</v>
      </c>
      <c r="M80" s="63">
        <v>7</v>
      </c>
      <c r="N80" s="59">
        <v>27139000</v>
      </c>
      <c r="O80" s="59">
        <f t="shared" si="79"/>
        <v>62032000</v>
      </c>
      <c r="P80" s="59">
        <f t="shared" si="80"/>
        <v>33073933.649289101</v>
      </c>
      <c r="Q80" s="59">
        <f t="shared" si="81"/>
        <v>34588719.810426541</v>
      </c>
      <c r="R80" s="59">
        <f t="shared" si="82"/>
        <v>304280.18957345933</v>
      </c>
      <c r="S80" s="59">
        <f t="shared" si="83"/>
        <v>25724170.616113745</v>
      </c>
      <c r="T80" s="59">
        <f t="shared" si="84"/>
        <v>26902337.630331755</v>
      </c>
      <c r="U80" s="59">
        <f t="shared" si="85"/>
        <v>236662.36966824532</v>
      </c>
      <c r="V80" s="60">
        <f t="shared" si="86"/>
        <v>540942.55924170464</v>
      </c>
      <c r="X80" s="107"/>
      <c r="Y80" s="107"/>
      <c r="Z80" s="108"/>
      <c r="AA80" s="108"/>
    </row>
    <row r="81" spans="2:27" x14ac:dyDescent="0.2">
      <c r="B81" s="24" t="s">
        <v>77</v>
      </c>
      <c r="C81" s="63"/>
      <c r="D81" s="22"/>
      <c r="E81" s="23"/>
      <c r="F81" s="22"/>
      <c r="G81" s="23"/>
      <c r="H81" s="22"/>
      <c r="I81" s="23"/>
      <c r="J81" s="22"/>
      <c r="K81" s="63"/>
      <c r="L81" s="223"/>
      <c r="M81" s="63"/>
      <c r="N81" s="223"/>
      <c r="O81" s="64"/>
      <c r="P81" s="5"/>
      <c r="Q81" s="61"/>
      <c r="R81" s="61"/>
      <c r="S81" s="61"/>
      <c r="T81" s="61"/>
      <c r="U81" s="61"/>
      <c r="V81" s="62"/>
      <c r="X81" s="107"/>
      <c r="Y81" s="107"/>
      <c r="Z81" s="108"/>
      <c r="AA81" s="108"/>
    </row>
    <row r="82" spans="2:27" x14ac:dyDescent="0.2">
      <c r="B82" s="20" t="s">
        <v>324</v>
      </c>
      <c r="C82" s="63">
        <v>160</v>
      </c>
      <c r="D82" s="22">
        <v>5658000</v>
      </c>
      <c r="E82" s="32">
        <v>5.5E-2</v>
      </c>
      <c r="F82" s="22">
        <f t="shared" ref="F82:F87" si="87">+ROUND((D82*E82)+D82,-3)</f>
        <v>5969000</v>
      </c>
      <c r="G82" s="32">
        <v>1.4999999999999999E-2</v>
      </c>
      <c r="H82" s="22">
        <f t="shared" ref="H82:H85" si="88">+(F82*G82)+F82</f>
        <v>6058535</v>
      </c>
      <c r="I82" s="32">
        <v>0.02</v>
      </c>
      <c r="J82" s="22">
        <f t="shared" si="78"/>
        <v>6088380</v>
      </c>
      <c r="K82" s="63">
        <v>104</v>
      </c>
      <c r="L82" s="22">
        <v>627423816</v>
      </c>
      <c r="M82" s="63">
        <v>103</v>
      </c>
      <c r="N82" s="59">
        <v>659623420</v>
      </c>
      <c r="O82" s="59">
        <f t="shared" ref="O82:O87" si="89">L82+N82</f>
        <v>1287047236</v>
      </c>
      <c r="P82" s="59">
        <f t="shared" ref="P82:P87" si="90">L82/(1+E82)</f>
        <v>594714517.53554511</v>
      </c>
      <c r="Q82" s="59">
        <f t="shared" ref="Q82:Q87" si="91">(P82*$Q$8)+P82</f>
        <v>621952442.43867302</v>
      </c>
      <c r="R82" s="59">
        <f t="shared" ref="R82:R87" si="92">+L82-Q82</f>
        <v>5471373.5613269806</v>
      </c>
      <c r="S82" s="59">
        <f t="shared" ref="S82:S87" si="93">N82/(1+E82)</f>
        <v>625235469.19431281</v>
      </c>
      <c r="T82" s="59">
        <f t="shared" ref="T82:T87" si="94">(S82*$T$8)+S82</f>
        <v>653871253.68341231</v>
      </c>
      <c r="U82" s="59">
        <f t="shared" ref="U82:U87" si="95">N82-T82</f>
        <v>5752166.3165876865</v>
      </c>
      <c r="V82" s="60">
        <f t="shared" ref="V82:V87" si="96">R82+U82</f>
        <v>11223539.877914667</v>
      </c>
      <c r="X82" s="107"/>
      <c r="Y82" s="107"/>
      <c r="Z82" s="108"/>
      <c r="AA82" s="108"/>
    </row>
    <row r="83" spans="2:27" x14ac:dyDescent="0.2">
      <c r="B83" s="20" t="s">
        <v>379</v>
      </c>
      <c r="C83" s="63">
        <v>149</v>
      </c>
      <c r="D83" s="22">
        <v>5658000</v>
      </c>
      <c r="E83" s="32">
        <v>5.5E-2</v>
      </c>
      <c r="F83" s="22">
        <f t="shared" si="87"/>
        <v>5969000</v>
      </c>
      <c r="G83" s="32">
        <v>1.4999999999999999E-2</v>
      </c>
      <c r="H83" s="22">
        <f t="shared" ref="H83" si="97">+(F83*G83)+F83</f>
        <v>6058535</v>
      </c>
      <c r="I83" s="32">
        <v>0.02</v>
      </c>
      <c r="J83" s="22">
        <f t="shared" ref="J83" si="98">+(F83*I83)+F83</f>
        <v>6088380</v>
      </c>
      <c r="K83" s="63">
        <v>21</v>
      </c>
      <c r="L83" s="22">
        <v>104870900</v>
      </c>
      <c r="M83" s="63">
        <v>27</v>
      </c>
      <c r="N83" s="59">
        <v>131134500</v>
      </c>
      <c r="O83" s="59">
        <f t="shared" si="89"/>
        <v>236005400</v>
      </c>
      <c r="P83" s="59">
        <f t="shared" si="90"/>
        <v>99403696.682464465</v>
      </c>
      <c r="Q83" s="59">
        <f t="shared" si="91"/>
        <v>103956385.99052134</v>
      </c>
      <c r="R83" s="59">
        <f t="shared" si="92"/>
        <v>914514.00947865844</v>
      </c>
      <c r="S83" s="59">
        <f t="shared" si="93"/>
        <v>124298104.26540285</v>
      </c>
      <c r="T83" s="59">
        <f t="shared" si="94"/>
        <v>129990957.4407583</v>
      </c>
      <c r="U83" s="59">
        <f t="shared" si="95"/>
        <v>1143542.5592416972</v>
      </c>
      <c r="V83" s="60">
        <f t="shared" si="96"/>
        <v>2058056.5687203556</v>
      </c>
      <c r="X83" s="107"/>
      <c r="Y83" s="107"/>
      <c r="Z83" s="108"/>
      <c r="AA83" s="108"/>
    </row>
    <row r="84" spans="2:27" x14ac:dyDescent="0.2">
      <c r="B84" s="20" t="s">
        <v>380</v>
      </c>
      <c r="C84" s="63">
        <v>144</v>
      </c>
      <c r="D84" s="22">
        <v>5658000</v>
      </c>
      <c r="E84" s="32">
        <v>5.5E-2</v>
      </c>
      <c r="F84" s="22">
        <f t="shared" si="87"/>
        <v>5969000</v>
      </c>
      <c r="G84" s="32">
        <v>1.4999999999999999E-2</v>
      </c>
      <c r="H84" s="22">
        <f t="shared" ref="H84" si="99">+(F84*G84)+F84</f>
        <v>6058535</v>
      </c>
      <c r="I84" s="32">
        <v>0.02</v>
      </c>
      <c r="J84" s="22">
        <f t="shared" ref="J84" si="100">+(F84*I84)+F84</f>
        <v>6088380</v>
      </c>
      <c r="K84" s="63">
        <v>39</v>
      </c>
      <c r="L84" s="22">
        <v>194537221</v>
      </c>
      <c r="M84" s="63">
        <v>54</v>
      </c>
      <c r="N84" s="59">
        <v>275118721</v>
      </c>
      <c r="O84" s="59">
        <f t="shared" si="89"/>
        <v>469655942</v>
      </c>
      <c r="P84" s="59">
        <f t="shared" si="90"/>
        <v>184395470.14218011</v>
      </c>
      <c r="Q84" s="59">
        <f t="shared" si="91"/>
        <v>192840782.67469198</v>
      </c>
      <c r="R84" s="59">
        <f t="shared" si="92"/>
        <v>1696438.3253080249</v>
      </c>
      <c r="S84" s="59">
        <f t="shared" si="93"/>
        <v>260776038.86255926</v>
      </c>
      <c r="T84" s="59">
        <f t="shared" si="94"/>
        <v>272719581.44246447</v>
      </c>
      <c r="U84" s="59">
        <f t="shared" si="95"/>
        <v>2399139.5575355291</v>
      </c>
      <c r="V84" s="60">
        <f t="shared" si="96"/>
        <v>4095577.882843554</v>
      </c>
      <c r="X84" s="107"/>
      <c r="Y84" s="107"/>
      <c r="Z84" s="108"/>
      <c r="AA84" s="108"/>
    </row>
    <row r="85" spans="2:27" x14ac:dyDescent="0.2">
      <c r="B85" s="20" t="s">
        <v>66</v>
      </c>
      <c r="C85" s="63">
        <v>160</v>
      </c>
      <c r="D85" s="22">
        <v>6405000</v>
      </c>
      <c r="E85" s="32">
        <v>5.5E-2</v>
      </c>
      <c r="F85" s="22">
        <f t="shared" si="87"/>
        <v>6757000</v>
      </c>
      <c r="G85" s="32">
        <v>1.4999999999999999E-2</v>
      </c>
      <c r="H85" s="22">
        <f t="shared" si="88"/>
        <v>6858355</v>
      </c>
      <c r="I85" s="32">
        <v>0.02</v>
      </c>
      <c r="J85" s="22">
        <f t="shared" si="78"/>
        <v>6892140</v>
      </c>
      <c r="K85" s="63">
        <v>9</v>
      </c>
      <c r="L85" s="22">
        <v>59821848</v>
      </c>
      <c r="M85" s="63">
        <v>8</v>
      </c>
      <c r="N85" s="59">
        <v>53064848</v>
      </c>
      <c r="O85" s="59">
        <f t="shared" si="89"/>
        <v>112886696</v>
      </c>
      <c r="P85" s="59">
        <f t="shared" si="90"/>
        <v>56703173.459715642</v>
      </c>
      <c r="Q85" s="59">
        <f t="shared" si="91"/>
        <v>59300178.804170616</v>
      </c>
      <c r="R85" s="59">
        <f t="shared" si="92"/>
        <v>521669.19582938403</v>
      </c>
      <c r="S85" s="59">
        <f t="shared" si="93"/>
        <v>50298434.123222753</v>
      </c>
      <c r="T85" s="59">
        <f t="shared" si="94"/>
        <v>52602102.406066358</v>
      </c>
      <c r="U85" s="59">
        <f t="shared" si="95"/>
        <v>462745.59393364191</v>
      </c>
      <c r="V85" s="60">
        <f t="shared" si="96"/>
        <v>984414.78976302594</v>
      </c>
      <c r="X85" s="107"/>
      <c r="Y85" s="107"/>
      <c r="Z85" s="108"/>
      <c r="AA85" s="108"/>
    </row>
    <row r="86" spans="2:27" x14ac:dyDescent="0.2">
      <c r="B86" s="20" t="s">
        <v>347</v>
      </c>
      <c r="C86" s="63">
        <v>144</v>
      </c>
      <c r="D86" s="22">
        <v>5658000</v>
      </c>
      <c r="E86" s="32">
        <v>5.5E-2</v>
      </c>
      <c r="F86" s="22">
        <f t="shared" si="87"/>
        <v>5969000</v>
      </c>
      <c r="G86" s="32">
        <v>1.4999999999999999E-2</v>
      </c>
      <c r="H86" s="22">
        <f>+(F86*G86)+F86</f>
        <v>6058535</v>
      </c>
      <c r="I86" s="32">
        <v>0.02</v>
      </c>
      <c r="J86" s="22">
        <f>+(F86*I86)+F86</f>
        <v>6088380</v>
      </c>
      <c r="K86" s="63">
        <v>76</v>
      </c>
      <c r="L86" s="22">
        <v>363394750</v>
      </c>
      <c r="M86" s="63">
        <v>91</v>
      </c>
      <c r="N86" s="59">
        <v>439201050</v>
      </c>
      <c r="O86" s="59">
        <f t="shared" si="89"/>
        <v>802595800</v>
      </c>
      <c r="P86" s="59">
        <f t="shared" si="90"/>
        <v>344450000</v>
      </c>
      <c r="Q86" s="59">
        <f t="shared" si="91"/>
        <v>360225810</v>
      </c>
      <c r="R86" s="59">
        <f t="shared" si="92"/>
        <v>3168940</v>
      </c>
      <c r="S86" s="59">
        <f t="shared" si="93"/>
        <v>416304312.79620856</v>
      </c>
      <c r="T86" s="59">
        <f t="shared" si="94"/>
        <v>435371050.32227492</v>
      </c>
      <c r="U86" s="59">
        <f t="shared" si="95"/>
        <v>3829999.6777250767</v>
      </c>
      <c r="V86" s="60">
        <f t="shared" si="96"/>
        <v>6998939.6777250767</v>
      </c>
      <c r="X86" s="107"/>
      <c r="Y86" s="107"/>
      <c r="Z86" s="108"/>
      <c r="AA86" s="108"/>
    </row>
    <row r="87" spans="2:27" x14ac:dyDescent="0.2">
      <c r="B87" s="20" t="s">
        <v>78</v>
      </c>
      <c r="C87" s="63">
        <v>170</v>
      </c>
      <c r="D87" s="22">
        <v>2204000</v>
      </c>
      <c r="E87" s="32">
        <v>5.5E-2</v>
      </c>
      <c r="F87" s="22">
        <f t="shared" si="87"/>
        <v>2325000</v>
      </c>
      <c r="G87" s="32">
        <v>1.4999999999999999E-2</v>
      </c>
      <c r="H87" s="22">
        <f>+(F87*G87)+F87</f>
        <v>2359875</v>
      </c>
      <c r="I87" s="32">
        <v>0.02</v>
      </c>
      <c r="J87" s="22">
        <f t="shared" si="78"/>
        <v>2371500</v>
      </c>
      <c r="K87" s="63">
        <v>9</v>
      </c>
      <c r="L87" s="22">
        <v>17670000</v>
      </c>
      <c r="M87" s="63">
        <v>8</v>
      </c>
      <c r="N87" s="59">
        <v>16182000</v>
      </c>
      <c r="O87" s="59">
        <f t="shared" si="89"/>
        <v>33852000</v>
      </c>
      <c r="P87" s="59">
        <f t="shared" si="90"/>
        <v>16748815.165876778</v>
      </c>
      <c r="Q87" s="59">
        <f t="shared" si="91"/>
        <v>17515910.900473934</v>
      </c>
      <c r="R87" s="59">
        <f t="shared" si="92"/>
        <v>154089.09952606633</v>
      </c>
      <c r="S87" s="59">
        <f t="shared" si="93"/>
        <v>15338388.625592418</v>
      </c>
      <c r="T87" s="59">
        <f t="shared" si="94"/>
        <v>16040886.824644551</v>
      </c>
      <c r="U87" s="59">
        <f t="shared" si="95"/>
        <v>141113.17535544932</v>
      </c>
      <c r="V87" s="60">
        <f t="shared" si="96"/>
        <v>295202.27488151565</v>
      </c>
      <c r="X87" s="107"/>
      <c r="Y87" s="107"/>
      <c r="Z87" s="108"/>
      <c r="AA87" s="108"/>
    </row>
    <row r="88" spans="2:27" ht="12" thickBot="1" x14ac:dyDescent="0.25">
      <c r="B88" s="77" t="s">
        <v>226</v>
      </c>
      <c r="C88" s="51"/>
      <c r="D88" s="194">
        <f>SUM(D11:D87)</f>
        <v>623136000</v>
      </c>
      <c r="E88" s="51"/>
      <c r="F88" s="194">
        <f>SUM(F11:F87)</f>
        <v>657409000</v>
      </c>
      <c r="G88" s="78"/>
      <c r="H88" s="194">
        <f>SUM(H11:H87)</f>
        <v>667270135</v>
      </c>
      <c r="I88" s="78"/>
      <c r="J88" s="194">
        <f t="shared" ref="J88:V88" si="101">SUM(J11:J87)</f>
        <v>580066860</v>
      </c>
      <c r="K88" s="197">
        <f t="shared" si="101"/>
        <v>16192</v>
      </c>
      <c r="L88" s="194">
        <f t="shared" si="101"/>
        <v>196497672975</v>
      </c>
      <c r="M88" s="197">
        <f t="shared" si="101"/>
        <v>15908</v>
      </c>
      <c r="N88" s="194">
        <f t="shared" si="101"/>
        <v>193007306964</v>
      </c>
      <c r="O88" s="194">
        <f t="shared" si="101"/>
        <v>389504979939</v>
      </c>
      <c r="P88" s="194">
        <f t="shared" si="101"/>
        <v>186253718459.71564</v>
      </c>
      <c r="Q88" s="194">
        <f>SUM(Q11:Q87)</f>
        <v>194784138765.17053</v>
      </c>
      <c r="R88" s="194">
        <f t="shared" si="101"/>
        <v>1713534209.8293724</v>
      </c>
      <c r="S88" s="194">
        <f t="shared" si="101"/>
        <v>182945314657.81995</v>
      </c>
      <c r="T88" s="194">
        <f t="shared" si="101"/>
        <v>191324210069.14807</v>
      </c>
      <c r="U88" s="194">
        <f t="shared" si="101"/>
        <v>1683096894.8519304</v>
      </c>
      <c r="V88" s="194">
        <f t="shared" si="101"/>
        <v>3396631104.681303</v>
      </c>
      <c r="X88" s="107"/>
      <c r="Y88" s="107"/>
      <c r="Z88" s="107"/>
      <c r="AA88" s="107"/>
    </row>
    <row r="89" spans="2:27" ht="12" thickBot="1" x14ac:dyDescent="0.25">
      <c r="B89" s="79" t="s">
        <v>227</v>
      </c>
      <c r="C89" s="52"/>
      <c r="D89" s="224"/>
      <c r="E89" s="80"/>
      <c r="F89" s="195">
        <f>SUMPRODUCT(E11:E87,F11:F87)/F88</f>
        <v>5.5E-2</v>
      </c>
      <c r="G89" s="81"/>
      <c r="H89" s="82"/>
      <c r="I89" s="83"/>
      <c r="J89" s="83"/>
      <c r="K89" s="83"/>
      <c r="L89" s="83"/>
      <c r="M89" s="83"/>
      <c r="N89" s="83"/>
      <c r="O89" s="198">
        <f>SUMPRODUCT(O11:O87,E11:E87)/O88</f>
        <v>5.5E-2</v>
      </c>
      <c r="P89" s="83"/>
      <c r="Q89" s="83"/>
      <c r="R89" s="83"/>
      <c r="S89" s="83"/>
      <c r="T89" s="83"/>
      <c r="U89" s="83"/>
      <c r="V89" s="84"/>
      <c r="X89" s="104"/>
    </row>
    <row r="90" spans="2:27" ht="12" thickBot="1" x14ac:dyDescent="0.25">
      <c r="B90" s="227"/>
      <c r="C90" s="228"/>
      <c r="D90" s="229"/>
      <c r="E90" s="230"/>
      <c r="F90" s="231"/>
      <c r="G90" s="232"/>
      <c r="H90" s="233"/>
      <c r="I90" s="228"/>
      <c r="J90" s="228"/>
      <c r="K90" s="228"/>
      <c r="L90" s="228"/>
      <c r="M90" s="228"/>
      <c r="N90" s="228"/>
      <c r="O90" s="234"/>
      <c r="P90" s="228"/>
      <c r="Q90" s="228"/>
      <c r="R90" s="228"/>
      <c r="S90" s="228"/>
      <c r="T90" s="228"/>
      <c r="U90" s="228"/>
      <c r="V90" s="235"/>
      <c r="X90" s="104"/>
    </row>
    <row r="91" spans="2:27" ht="12" thickBot="1" x14ac:dyDescent="0.25">
      <c r="B91" s="193" t="s">
        <v>228</v>
      </c>
      <c r="C91" s="53"/>
      <c r="D91" s="53"/>
      <c r="E91" s="53"/>
      <c r="F91" s="105"/>
      <c r="G91" s="53"/>
      <c r="H91" s="53"/>
      <c r="I91" s="53"/>
      <c r="J91" s="53"/>
      <c r="K91" s="53"/>
      <c r="L91" s="53"/>
      <c r="M91" s="53"/>
      <c r="N91" s="53"/>
      <c r="O91" s="53"/>
      <c r="P91" s="53"/>
      <c r="Q91" s="53"/>
      <c r="R91" s="53"/>
      <c r="S91" s="53"/>
      <c r="T91" s="53"/>
      <c r="U91" s="53"/>
      <c r="V91" s="85"/>
    </row>
    <row r="92" spans="2:27" x14ac:dyDescent="0.2">
      <c r="B92" s="26" t="s">
        <v>210</v>
      </c>
      <c r="C92" s="3"/>
      <c r="D92" s="27"/>
      <c r="E92" s="28"/>
      <c r="F92" s="28"/>
      <c r="G92" s="3"/>
      <c r="H92" s="29"/>
      <c r="I92" s="3"/>
      <c r="J92" s="29"/>
      <c r="K92" s="29"/>
      <c r="L92" s="29"/>
      <c r="M92" s="29"/>
      <c r="N92" s="29"/>
      <c r="O92" s="29"/>
      <c r="P92" s="3"/>
      <c r="Q92" s="3"/>
      <c r="R92" s="3"/>
      <c r="S92" s="3"/>
      <c r="T92" s="3"/>
      <c r="U92" s="3"/>
      <c r="V92" s="4"/>
    </row>
    <row r="93" spans="2:27" x14ac:dyDescent="0.2">
      <c r="B93" s="30" t="s">
        <v>80</v>
      </c>
      <c r="C93" s="6">
        <v>24</v>
      </c>
      <c r="D93" s="22">
        <v>9429000</v>
      </c>
      <c r="E93" s="32">
        <v>5.5E-2</v>
      </c>
      <c r="F93" s="22">
        <f>+ROUND((D93*E93)+D93,-3)</f>
        <v>9948000</v>
      </c>
      <c r="G93" s="32">
        <v>1.4999999999999999E-2</v>
      </c>
      <c r="H93" s="22">
        <f>+(F93*G93)+F93</f>
        <v>10097220</v>
      </c>
      <c r="I93" s="32">
        <v>0.02</v>
      </c>
      <c r="J93" s="22">
        <f>+(F93*I93)+F93</f>
        <v>10146960</v>
      </c>
      <c r="K93" s="63">
        <v>8</v>
      </c>
      <c r="L93" s="22">
        <v>73615200</v>
      </c>
      <c r="M93" s="63">
        <v>17</v>
      </c>
      <c r="N93" s="22">
        <v>157178400</v>
      </c>
      <c r="O93" s="22">
        <f>L93+N93</f>
        <v>230793600</v>
      </c>
      <c r="P93" s="22">
        <f>L93/(1+E93)</f>
        <v>69777440.758293837</v>
      </c>
      <c r="Q93" s="61">
        <f>(P93*$Q$8)+P93</f>
        <v>72973247.545023695</v>
      </c>
      <c r="R93" s="61">
        <f>L93-Q93</f>
        <v>641952.45497630537</v>
      </c>
      <c r="S93" s="61">
        <f>N93/(1+E93)</f>
        <v>148984265.40284362</v>
      </c>
      <c r="T93" s="61">
        <f>(S93*$T$8)+S93</f>
        <v>155807744.75829387</v>
      </c>
      <c r="U93" s="61">
        <f>N93-T93</f>
        <v>1370655.2417061329</v>
      </c>
      <c r="V93" s="61">
        <f>R93+U93</f>
        <v>2012607.6966824383</v>
      </c>
      <c r="X93" s="107"/>
      <c r="Y93" s="107"/>
      <c r="Z93" s="108"/>
      <c r="AA93" s="108"/>
    </row>
    <row r="94" spans="2:27" x14ac:dyDescent="0.2">
      <c r="B94" s="30" t="s">
        <v>178</v>
      </c>
      <c r="C94" s="6">
        <v>48</v>
      </c>
      <c r="D94" s="22">
        <v>11731000</v>
      </c>
      <c r="E94" s="32">
        <v>5.5E-2</v>
      </c>
      <c r="F94" s="22">
        <f t="shared" ref="F94:F96" si="102">+ROUND((D94*E94)+D94,-3)</f>
        <v>12376000</v>
      </c>
      <c r="G94" s="32">
        <v>1.4999999999999999E-2</v>
      </c>
      <c r="H94" s="22">
        <f>+(F94*G94)+F94</f>
        <v>12561640</v>
      </c>
      <c r="I94" s="32">
        <v>0.02</v>
      </c>
      <c r="J94" s="22">
        <f>+(F94*I94)+F94</f>
        <v>12623520</v>
      </c>
      <c r="K94" s="63">
        <v>15</v>
      </c>
      <c r="L94" s="22">
        <v>149749600</v>
      </c>
      <c r="M94" s="63">
        <v>22</v>
      </c>
      <c r="N94" s="22">
        <v>226480800</v>
      </c>
      <c r="O94" s="22">
        <f>L94+N94</f>
        <v>376230400</v>
      </c>
      <c r="P94" s="22">
        <f>L94/(1+E94)</f>
        <v>141942748.81516588</v>
      </c>
      <c r="Q94" s="61">
        <f>(P94*$Q$8)+P94</f>
        <v>148443726.71090049</v>
      </c>
      <c r="R94" s="61">
        <f>L94-Q94</f>
        <v>1305873.2890995145</v>
      </c>
      <c r="S94" s="61">
        <f>N94/(1+E94)</f>
        <v>214673744.07582939</v>
      </c>
      <c r="T94" s="61">
        <f t="shared" ref="T94:T96" si="103">(S94*$T$8)+S94</f>
        <v>224505801.55450237</v>
      </c>
      <c r="U94" s="61">
        <f>N94-T94</f>
        <v>1974998.445497632</v>
      </c>
      <c r="V94" s="61">
        <f t="shared" ref="V94:V96" si="104">R94+U94</f>
        <v>3280871.7345971465</v>
      </c>
      <c r="X94" s="107"/>
      <c r="Y94" s="107"/>
      <c r="Z94" s="108"/>
      <c r="AA94" s="108"/>
    </row>
    <row r="95" spans="2:27" x14ac:dyDescent="0.2">
      <c r="B95" s="30" t="s">
        <v>381</v>
      </c>
      <c r="C95" s="6">
        <v>48</v>
      </c>
      <c r="D95" s="22">
        <v>11731000</v>
      </c>
      <c r="E95" s="32">
        <v>5.5E-2</v>
      </c>
      <c r="F95" s="22">
        <f t="shared" ref="F95" si="105">+ROUND((D95*E95)+D95,-3)</f>
        <v>12376000</v>
      </c>
      <c r="G95" s="32">
        <v>1.4999999999999999E-2</v>
      </c>
      <c r="H95" s="22">
        <f>+(F95*G95)+F95</f>
        <v>12561640</v>
      </c>
      <c r="I95" s="32">
        <v>0.02</v>
      </c>
      <c r="J95" s="22">
        <f>+(F95*I95)+F95</f>
        <v>12623520</v>
      </c>
      <c r="K95" s="63">
        <v>0</v>
      </c>
      <c r="L95" s="22">
        <v>0</v>
      </c>
      <c r="M95" s="63">
        <v>0</v>
      </c>
      <c r="N95" s="22">
        <v>0</v>
      </c>
      <c r="O95" s="22">
        <f>L95+N95</f>
        <v>0</v>
      </c>
      <c r="P95" s="22">
        <f>L95/(1+E95)</f>
        <v>0</v>
      </c>
      <c r="Q95" s="61">
        <f>(P95*$Q$8)+P95</f>
        <v>0</v>
      </c>
      <c r="R95" s="61">
        <f>L95-Q95</f>
        <v>0</v>
      </c>
      <c r="S95" s="61">
        <f>N95/(1+E95)</f>
        <v>0</v>
      </c>
      <c r="T95" s="61">
        <f t="shared" si="103"/>
        <v>0</v>
      </c>
      <c r="U95" s="61">
        <f>N95-T95</f>
        <v>0</v>
      </c>
      <c r="V95" s="61">
        <f t="shared" si="104"/>
        <v>0</v>
      </c>
      <c r="X95" s="107"/>
      <c r="Y95" s="107"/>
      <c r="Z95" s="108"/>
      <c r="AA95" s="108"/>
    </row>
    <row r="96" spans="2:27" x14ac:dyDescent="0.2">
      <c r="B96" s="30" t="s">
        <v>79</v>
      </c>
      <c r="C96" s="6">
        <v>48</v>
      </c>
      <c r="D96" s="22">
        <v>11731000</v>
      </c>
      <c r="E96" s="32">
        <v>0</v>
      </c>
      <c r="F96" s="22">
        <f t="shared" si="102"/>
        <v>11731000</v>
      </c>
      <c r="G96" s="32">
        <v>1.4999999999999999E-2</v>
      </c>
      <c r="H96" s="22">
        <f>+(F96*G96)+F96</f>
        <v>11906965</v>
      </c>
      <c r="I96" s="32">
        <v>0.02</v>
      </c>
      <c r="J96" s="22">
        <f>+(F96*I96)+F96</f>
        <v>11965620</v>
      </c>
      <c r="K96" s="63">
        <v>30</v>
      </c>
      <c r="L96" s="22">
        <v>327294900</v>
      </c>
      <c r="M96" s="63">
        <v>29</v>
      </c>
      <c r="N96" s="22">
        <v>295621200</v>
      </c>
      <c r="O96" s="22">
        <f>L96+N96</f>
        <v>622916100</v>
      </c>
      <c r="P96" s="22">
        <f>L96/(1+E96)</f>
        <v>327294900</v>
      </c>
      <c r="Q96" s="61">
        <f>(P96*$Q$8)+P96</f>
        <v>342285006.42000002</v>
      </c>
      <c r="R96" s="61">
        <f>L96-Q96</f>
        <v>-14990106.420000017</v>
      </c>
      <c r="S96" s="61">
        <f>N96/(1+E96)</f>
        <v>295621200</v>
      </c>
      <c r="T96" s="61">
        <f t="shared" si="103"/>
        <v>309160650.95999998</v>
      </c>
      <c r="U96" s="61">
        <f>N96-T96</f>
        <v>-13539450.959999979</v>
      </c>
      <c r="V96" s="61">
        <f t="shared" si="104"/>
        <v>-28529557.379999995</v>
      </c>
      <c r="X96" s="107"/>
      <c r="Y96" s="107"/>
      <c r="Z96" s="108"/>
      <c r="AA96" s="108"/>
    </row>
    <row r="97" spans="2:27" x14ac:dyDescent="0.2">
      <c r="B97" s="33" t="s">
        <v>229</v>
      </c>
      <c r="C97" s="6"/>
      <c r="D97" s="31"/>
      <c r="E97" s="32"/>
      <c r="F97" s="31"/>
      <c r="G97" s="6"/>
      <c r="H97" s="61"/>
      <c r="I97" s="6"/>
      <c r="J97" s="61"/>
      <c r="K97" s="34"/>
      <c r="L97" s="223"/>
      <c r="M97" s="63"/>
      <c r="N97" s="223"/>
      <c r="O97" s="22"/>
      <c r="P97" s="61"/>
      <c r="Q97" s="61"/>
      <c r="R97" s="61"/>
      <c r="S97" s="61"/>
      <c r="T97" s="61"/>
      <c r="U97" s="61"/>
      <c r="V97" s="62"/>
      <c r="X97" s="107"/>
      <c r="Y97" s="107"/>
      <c r="Z97" s="108"/>
      <c r="AA97" s="108"/>
    </row>
    <row r="98" spans="2:27" x14ac:dyDescent="0.2">
      <c r="B98" s="30" t="s">
        <v>83</v>
      </c>
      <c r="C98" s="6">
        <v>106</v>
      </c>
      <c r="D98" s="22">
        <v>11792000</v>
      </c>
      <c r="E98" s="32">
        <v>5.5E-2</v>
      </c>
      <c r="F98" s="22">
        <f t="shared" ref="F98:F107" si="106">+ROUND((D98*E98)+D98,-3)</f>
        <v>12441000</v>
      </c>
      <c r="G98" s="32">
        <v>1.4999999999999999E-2</v>
      </c>
      <c r="H98" s="22">
        <f t="shared" ref="H98:H107" si="107">+(F98*G98)+F98</f>
        <v>12627615</v>
      </c>
      <c r="I98" s="32">
        <v>0.02</v>
      </c>
      <c r="J98" s="22">
        <f t="shared" ref="J98:J107" si="108">+(F98*I98)+F98</f>
        <v>12689820</v>
      </c>
      <c r="K98" s="63">
        <v>47</v>
      </c>
      <c r="L98" s="22">
        <v>376441262</v>
      </c>
      <c r="M98" s="63">
        <v>43</v>
      </c>
      <c r="N98" s="22">
        <v>326677262</v>
      </c>
      <c r="O98" s="22">
        <f t="shared" ref="O98:O107" si="109">L98+N98</f>
        <v>703118524</v>
      </c>
      <c r="P98" s="22">
        <f t="shared" ref="P98:P107" si="110">L98/(1+E98)</f>
        <v>356816362.08530807</v>
      </c>
      <c r="Q98" s="61">
        <f t="shared" ref="Q98:Q107" si="111">(P98*$Q$8)+P98</f>
        <v>373158551.46881521</v>
      </c>
      <c r="R98" s="61">
        <f t="shared" ref="R98:R107" si="112">L98-Q98</f>
        <v>3282710.5311847925</v>
      </c>
      <c r="S98" s="61">
        <f t="shared" ref="S98:S107" si="113">N98/(1+E98)</f>
        <v>309646693.8388626</v>
      </c>
      <c r="T98" s="61">
        <f t="shared" ref="T98:T107" si="114">(S98*$T$8)+S98</f>
        <v>323828512.41668248</v>
      </c>
      <c r="U98" s="61">
        <f t="shared" ref="U98:U107" si="115">N98-T98</f>
        <v>2848749.5833175182</v>
      </c>
      <c r="V98" s="61">
        <f t="shared" ref="V98:V107" si="116">R98+U98</f>
        <v>6131460.1145023108</v>
      </c>
      <c r="X98" s="107"/>
      <c r="Y98" s="107"/>
      <c r="Z98" s="108"/>
      <c r="AA98" s="108"/>
    </row>
    <row r="99" spans="2:27" x14ac:dyDescent="0.2">
      <c r="B99" s="30" t="s">
        <v>356</v>
      </c>
      <c r="C99" s="6">
        <v>112</v>
      </c>
      <c r="D99" s="22">
        <v>15791000</v>
      </c>
      <c r="E99" s="32">
        <v>5.5E-2</v>
      </c>
      <c r="F99" s="22">
        <f t="shared" si="106"/>
        <v>16660000</v>
      </c>
      <c r="G99" s="32">
        <v>1.4999999999999999E-2</v>
      </c>
      <c r="H99" s="22">
        <f t="shared" si="107"/>
        <v>16909900</v>
      </c>
      <c r="I99" s="32">
        <v>0.02</v>
      </c>
      <c r="J99" s="22">
        <f t="shared" si="108"/>
        <v>16993200</v>
      </c>
      <c r="K99" s="63">
        <v>5</v>
      </c>
      <c r="L99" s="22">
        <v>38157605</v>
      </c>
      <c r="M99" s="63">
        <v>6</v>
      </c>
      <c r="N99" s="22">
        <v>54817605</v>
      </c>
      <c r="O99" s="22">
        <f t="shared" si="109"/>
        <v>92975210</v>
      </c>
      <c r="P99" s="22">
        <f t="shared" si="110"/>
        <v>36168345.97156398</v>
      </c>
      <c r="Q99" s="61">
        <f t="shared" si="111"/>
        <v>37824856.217061609</v>
      </c>
      <c r="R99" s="61">
        <f t="shared" si="112"/>
        <v>332748.78293839097</v>
      </c>
      <c r="S99" s="61">
        <f t="shared" si="113"/>
        <v>51959815.165876783</v>
      </c>
      <c r="T99" s="61">
        <f t="shared" si="114"/>
        <v>54339574.700473942</v>
      </c>
      <c r="U99" s="61">
        <f t="shared" si="115"/>
        <v>478030.29952605814</v>
      </c>
      <c r="V99" s="61">
        <f t="shared" si="116"/>
        <v>810779.08246444911</v>
      </c>
      <c r="X99" s="107"/>
      <c r="Y99" s="107"/>
      <c r="Z99" s="108"/>
      <c r="AA99" s="108"/>
    </row>
    <row r="100" spans="2:27" x14ac:dyDescent="0.2">
      <c r="B100" s="30" t="s">
        <v>81</v>
      </c>
      <c r="C100" s="6">
        <v>30</v>
      </c>
      <c r="D100" s="22">
        <v>8514000</v>
      </c>
      <c r="E100" s="32">
        <v>5.5E-2</v>
      </c>
      <c r="F100" s="22">
        <f t="shared" si="106"/>
        <v>8982000</v>
      </c>
      <c r="G100" s="32">
        <v>1.4999999999999999E-2</v>
      </c>
      <c r="H100" s="22">
        <f t="shared" si="107"/>
        <v>9116730</v>
      </c>
      <c r="I100" s="32">
        <v>0.02</v>
      </c>
      <c r="J100" s="22">
        <f t="shared" si="108"/>
        <v>9161640</v>
      </c>
      <c r="K100" s="63">
        <v>6</v>
      </c>
      <c r="L100" s="22">
        <v>49400865</v>
      </c>
      <c r="M100" s="63">
        <v>14</v>
      </c>
      <c r="N100" s="22">
        <v>121256865</v>
      </c>
      <c r="O100" s="22">
        <f t="shared" si="109"/>
        <v>170657730</v>
      </c>
      <c r="P100" s="22">
        <f t="shared" si="110"/>
        <v>46825464.454976305</v>
      </c>
      <c r="Q100" s="61">
        <f t="shared" si="111"/>
        <v>48970070.727014221</v>
      </c>
      <c r="R100" s="61">
        <f t="shared" si="112"/>
        <v>430794.27298577875</v>
      </c>
      <c r="S100" s="61">
        <f t="shared" si="113"/>
        <v>114935417.06161138</v>
      </c>
      <c r="T100" s="61">
        <f t="shared" si="114"/>
        <v>120199459.16303319</v>
      </c>
      <c r="U100" s="61">
        <f t="shared" si="115"/>
        <v>1057405.8369668126</v>
      </c>
      <c r="V100" s="61">
        <f t="shared" si="116"/>
        <v>1488200.1099525914</v>
      </c>
      <c r="X100" s="107"/>
      <c r="Y100" s="107"/>
      <c r="Z100" s="108"/>
      <c r="AA100" s="108"/>
    </row>
    <row r="101" spans="2:27" x14ac:dyDescent="0.2">
      <c r="B101" s="30" t="s">
        <v>179</v>
      </c>
      <c r="C101" s="6">
        <v>30</v>
      </c>
      <c r="D101" s="22">
        <v>8930000</v>
      </c>
      <c r="E101" s="32">
        <v>5.5E-2</v>
      </c>
      <c r="F101" s="22">
        <f t="shared" si="106"/>
        <v>9421000</v>
      </c>
      <c r="G101" s="32">
        <v>1.4999999999999999E-2</v>
      </c>
      <c r="H101" s="22">
        <f t="shared" si="107"/>
        <v>9562315</v>
      </c>
      <c r="I101" s="32">
        <v>0.02</v>
      </c>
      <c r="J101" s="22">
        <f t="shared" si="108"/>
        <v>9609420</v>
      </c>
      <c r="K101" s="63">
        <v>8</v>
      </c>
      <c r="L101" s="22">
        <v>72541655</v>
      </c>
      <c r="M101" s="63">
        <v>8</v>
      </c>
      <c r="N101" s="22">
        <v>72541655</v>
      </c>
      <c r="O101" s="22">
        <f t="shared" si="109"/>
        <v>145083310</v>
      </c>
      <c r="P101" s="22">
        <f t="shared" si="110"/>
        <v>68759862.559241712</v>
      </c>
      <c r="Q101" s="61">
        <f t="shared" si="111"/>
        <v>71909064.264454976</v>
      </c>
      <c r="R101" s="61">
        <f t="shared" si="112"/>
        <v>632590.73554502428</v>
      </c>
      <c r="S101" s="61">
        <f t="shared" si="113"/>
        <v>68759862.559241712</v>
      </c>
      <c r="T101" s="61">
        <f t="shared" si="114"/>
        <v>71909064.264454976</v>
      </c>
      <c r="U101" s="61">
        <f t="shared" si="115"/>
        <v>632590.73554502428</v>
      </c>
      <c r="V101" s="61">
        <f t="shared" si="116"/>
        <v>1265181.4710900486</v>
      </c>
      <c r="X101" s="107"/>
      <c r="Y101" s="107"/>
      <c r="Z101" s="108"/>
      <c r="AA101" s="108"/>
    </row>
    <row r="102" spans="2:27" x14ac:dyDescent="0.2">
      <c r="B102" s="30" t="s">
        <v>564</v>
      </c>
      <c r="C102" s="6">
        <v>30</v>
      </c>
      <c r="D102" s="22">
        <v>9882000</v>
      </c>
      <c r="E102" s="32">
        <v>5.5E-2</v>
      </c>
      <c r="F102" s="22">
        <f t="shared" si="106"/>
        <v>10426000</v>
      </c>
      <c r="G102" s="32">
        <v>1.4999999999999999E-2</v>
      </c>
      <c r="H102" s="22">
        <f t="shared" si="107"/>
        <v>10582390</v>
      </c>
      <c r="I102" s="32">
        <v>0.02</v>
      </c>
      <c r="J102" s="22">
        <f t="shared" si="108"/>
        <v>10634520</v>
      </c>
      <c r="K102" s="63">
        <v>21</v>
      </c>
      <c r="L102" s="22">
        <v>216339622</v>
      </c>
      <c r="M102" s="63">
        <v>21</v>
      </c>
      <c r="N102" s="22">
        <v>216339622</v>
      </c>
      <c r="O102" s="22">
        <f t="shared" si="109"/>
        <v>432679244</v>
      </c>
      <c r="P102" s="22">
        <f t="shared" si="110"/>
        <v>205061253.08056873</v>
      </c>
      <c r="Q102" s="61">
        <f t="shared" si="111"/>
        <v>214453058.47165877</v>
      </c>
      <c r="R102" s="61">
        <f t="shared" si="112"/>
        <v>1886563.5283412337</v>
      </c>
      <c r="S102" s="61">
        <f t="shared" si="113"/>
        <v>205061253.08056873</v>
      </c>
      <c r="T102" s="61">
        <f t="shared" si="114"/>
        <v>214453058.47165877</v>
      </c>
      <c r="U102" s="61">
        <f t="shared" si="115"/>
        <v>1886563.5283412337</v>
      </c>
      <c r="V102" s="61">
        <f t="shared" si="116"/>
        <v>3773127.0566824675</v>
      </c>
      <c r="X102" s="107"/>
      <c r="Y102" s="107"/>
      <c r="Z102" s="108"/>
      <c r="AA102" s="108"/>
    </row>
    <row r="103" spans="2:27" x14ac:dyDescent="0.2">
      <c r="B103" s="30" t="s">
        <v>82</v>
      </c>
      <c r="C103" s="6">
        <v>52</v>
      </c>
      <c r="D103" s="22">
        <v>10968000</v>
      </c>
      <c r="E103" s="32">
        <v>5.5E-2</v>
      </c>
      <c r="F103" s="22">
        <f t="shared" si="106"/>
        <v>11571000</v>
      </c>
      <c r="G103" s="32">
        <v>1.4999999999999999E-2</v>
      </c>
      <c r="H103" s="22">
        <f t="shared" si="107"/>
        <v>11744565</v>
      </c>
      <c r="I103" s="32">
        <v>0.02</v>
      </c>
      <c r="J103" s="22">
        <f t="shared" si="108"/>
        <v>11802420</v>
      </c>
      <c r="K103" s="63">
        <v>58</v>
      </c>
      <c r="L103" s="22">
        <v>544760059</v>
      </c>
      <c r="M103" s="63">
        <v>51</v>
      </c>
      <c r="N103" s="22">
        <v>463763059</v>
      </c>
      <c r="O103" s="22">
        <f t="shared" si="109"/>
        <v>1008523118</v>
      </c>
      <c r="P103" s="22">
        <f t="shared" si="110"/>
        <v>516360245.49763036</v>
      </c>
      <c r="Q103" s="61">
        <f t="shared" si="111"/>
        <v>540009544.74142182</v>
      </c>
      <c r="R103" s="61">
        <f t="shared" si="112"/>
        <v>4750514.2585781813</v>
      </c>
      <c r="S103" s="61">
        <f t="shared" si="113"/>
        <v>439585837.91469198</v>
      </c>
      <c r="T103" s="61">
        <f t="shared" si="114"/>
        <v>459718869.2911849</v>
      </c>
      <c r="U103" s="61">
        <f t="shared" si="115"/>
        <v>4044189.7088150978</v>
      </c>
      <c r="V103" s="61">
        <f t="shared" si="116"/>
        <v>8794703.9673932791</v>
      </c>
      <c r="X103" s="107"/>
      <c r="Y103" s="107"/>
      <c r="Z103" s="108"/>
      <c r="AA103" s="108"/>
    </row>
    <row r="104" spans="2:27" x14ac:dyDescent="0.2">
      <c r="B104" s="30" t="s">
        <v>382</v>
      </c>
      <c r="C104" s="6">
        <v>46</v>
      </c>
      <c r="D104" s="22">
        <v>8950000</v>
      </c>
      <c r="E104" s="32">
        <v>5.5E-2</v>
      </c>
      <c r="F104" s="22">
        <f t="shared" ref="F104" si="117">+ROUND((D104*E104)+D104,-3)</f>
        <v>9442000</v>
      </c>
      <c r="G104" s="32">
        <v>1.4999999999999999E-2</v>
      </c>
      <c r="H104" s="22">
        <f t="shared" ref="H104" si="118">+(F104*G104)+F104</f>
        <v>9583630</v>
      </c>
      <c r="I104" s="32">
        <v>0.02</v>
      </c>
      <c r="J104" s="22">
        <f t="shared" ref="J104" si="119">+(F104*I104)+F104</f>
        <v>9630840</v>
      </c>
      <c r="K104" s="63">
        <v>24</v>
      </c>
      <c r="L104" s="22">
        <v>199225475</v>
      </c>
      <c r="M104" s="63">
        <v>29</v>
      </c>
      <c r="N104" s="22">
        <v>246435475</v>
      </c>
      <c r="O104" s="22">
        <f t="shared" si="109"/>
        <v>445660950</v>
      </c>
      <c r="P104" s="22">
        <f t="shared" si="110"/>
        <v>188839312.79620853</v>
      </c>
      <c r="Q104" s="61">
        <f t="shared" si="111"/>
        <v>197488153.32227489</v>
      </c>
      <c r="R104" s="61">
        <f t="shared" si="112"/>
        <v>1737321.6777251065</v>
      </c>
      <c r="S104" s="61">
        <f t="shared" si="113"/>
        <v>233588127.96208534</v>
      </c>
      <c r="T104" s="61">
        <f t="shared" si="114"/>
        <v>244286464.22274885</v>
      </c>
      <c r="U104" s="61">
        <f t="shared" si="115"/>
        <v>2149010.7772511542</v>
      </c>
      <c r="V104" s="61">
        <f t="shared" si="116"/>
        <v>3886332.4549762607</v>
      </c>
      <c r="X104" s="107"/>
      <c r="Y104" s="107"/>
      <c r="Z104" s="108"/>
      <c r="AA104" s="108"/>
    </row>
    <row r="105" spans="2:27" x14ac:dyDescent="0.2">
      <c r="B105" s="30" t="s">
        <v>84</v>
      </c>
      <c r="C105" s="6">
        <v>52</v>
      </c>
      <c r="D105" s="22">
        <v>11016000</v>
      </c>
      <c r="E105" s="32">
        <v>5.5E-2</v>
      </c>
      <c r="F105" s="22">
        <f t="shared" si="106"/>
        <v>11622000</v>
      </c>
      <c r="G105" s="32">
        <v>1.4999999999999999E-2</v>
      </c>
      <c r="H105" s="22">
        <f t="shared" si="107"/>
        <v>11796330</v>
      </c>
      <c r="I105" s="32">
        <v>0.02</v>
      </c>
      <c r="J105" s="22">
        <f t="shared" si="108"/>
        <v>11854440</v>
      </c>
      <c r="K105" s="63">
        <v>12</v>
      </c>
      <c r="L105" s="22">
        <v>112733676</v>
      </c>
      <c r="M105" s="63">
        <v>15</v>
      </c>
      <c r="N105" s="22">
        <v>147599676</v>
      </c>
      <c r="O105" s="22">
        <f t="shared" si="109"/>
        <v>260333352</v>
      </c>
      <c r="P105" s="22">
        <f t="shared" si="110"/>
        <v>106856564.92890996</v>
      </c>
      <c r="Q105" s="61">
        <f t="shared" si="111"/>
        <v>111750595.60265404</v>
      </c>
      <c r="R105" s="61">
        <f t="shared" si="112"/>
        <v>983080.39734596014</v>
      </c>
      <c r="S105" s="61">
        <f t="shared" si="113"/>
        <v>139904906.16113746</v>
      </c>
      <c r="T105" s="61">
        <f t="shared" si="114"/>
        <v>146312550.86331755</v>
      </c>
      <c r="U105" s="61">
        <f t="shared" si="115"/>
        <v>1287125.1366824508</v>
      </c>
      <c r="V105" s="61">
        <f t="shared" si="116"/>
        <v>2270205.5340284109</v>
      </c>
      <c r="X105" s="107"/>
      <c r="Y105" s="107"/>
      <c r="Z105" s="108"/>
      <c r="AA105" s="108"/>
    </row>
    <row r="106" spans="2:27" x14ac:dyDescent="0.2">
      <c r="B106" s="30" t="s">
        <v>357</v>
      </c>
      <c r="C106" s="6">
        <v>40</v>
      </c>
      <c r="D106" s="22">
        <v>11090000</v>
      </c>
      <c r="E106" s="32">
        <v>5.5E-2</v>
      </c>
      <c r="F106" s="22">
        <f t="shared" si="106"/>
        <v>11700000</v>
      </c>
      <c r="G106" s="32">
        <v>1.4999999999999999E-2</v>
      </c>
      <c r="H106" s="22">
        <f t="shared" si="107"/>
        <v>11875500</v>
      </c>
      <c r="I106" s="32">
        <v>0.02</v>
      </c>
      <c r="J106" s="22">
        <f t="shared" si="108"/>
        <v>11934000</v>
      </c>
      <c r="K106" s="63">
        <v>28</v>
      </c>
      <c r="L106" s="22">
        <v>297765127</v>
      </c>
      <c r="M106" s="63">
        <v>29</v>
      </c>
      <c r="N106" s="22">
        <v>309465127</v>
      </c>
      <c r="O106" s="22">
        <f t="shared" si="109"/>
        <v>607230254</v>
      </c>
      <c r="P106" s="22">
        <f t="shared" si="110"/>
        <v>282241826.5402844</v>
      </c>
      <c r="Q106" s="61">
        <f t="shared" si="111"/>
        <v>295168502.19582939</v>
      </c>
      <c r="R106" s="61">
        <f t="shared" si="112"/>
        <v>2596624.8041706085</v>
      </c>
      <c r="S106" s="61">
        <f t="shared" si="113"/>
        <v>293331873.9336493</v>
      </c>
      <c r="T106" s="61">
        <f t="shared" si="114"/>
        <v>306766473.75981045</v>
      </c>
      <c r="U106" s="61">
        <f t="shared" si="115"/>
        <v>2698653.2401895523</v>
      </c>
      <c r="V106" s="61">
        <f t="shared" si="116"/>
        <v>5295278.0443601608</v>
      </c>
      <c r="X106" s="107"/>
      <c r="Y106" s="107"/>
      <c r="Z106" s="108"/>
      <c r="AA106" s="108"/>
    </row>
    <row r="107" spans="2:27" x14ac:dyDescent="0.2">
      <c r="B107" s="30" t="s">
        <v>325</v>
      </c>
      <c r="C107" s="6">
        <v>48</v>
      </c>
      <c r="D107" s="22">
        <v>8950000</v>
      </c>
      <c r="E107" s="32">
        <v>5.5E-2</v>
      </c>
      <c r="F107" s="22">
        <f t="shared" si="106"/>
        <v>9442000</v>
      </c>
      <c r="G107" s="32">
        <v>1.4999999999999999E-2</v>
      </c>
      <c r="H107" s="22">
        <f t="shared" si="107"/>
        <v>9583630</v>
      </c>
      <c r="I107" s="32">
        <v>0.02</v>
      </c>
      <c r="J107" s="22">
        <f t="shared" si="108"/>
        <v>9630840</v>
      </c>
      <c r="K107" s="63">
        <v>9</v>
      </c>
      <c r="L107" s="22">
        <v>64205050</v>
      </c>
      <c r="M107" s="63">
        <v>10</v>
      </c>
      <c r="N107" s="22">
        <v>73647050</v>
      </c>
      <c r="O107" s="22">
        <f t="shared" si="109"/>
        <v>137852100</v>
      </c>
      <c r="P107" s="22">
        <f t="shared" si="110"/>
        <v>60857867.298578203</v>
      </c>
      <c r="Q107" s="61">
        <f t="shared" si="111"/>
        <v>63645157.620853081</v>
      </c>
      <c r="R107" s="61">
        <f t="shared" si="112"/>
        <v>559892.37914691865</v>
      </c>
      <c r="S107" s="61">
        <f t="shared" si="113"/>
        <v>69807630.331753552</v>
      </c>
      <c r="T107" s="61">
        <f t="shared" si="114"/>
        <v>73004819.80094786</v>
      </c>
      <c r="U107" s="61">
        <f t="shared" si="115"/>
        <v>642230.19905214012</v>
      </c>
      <c r="V107" s="61">
        <f t="shared" si="116"/>
        <v>1202122.5781990588</v>
      </c>
      <c r="X107" s="107"/>
      <c r="Y107" s="107"/>
      <c r="Z107" s="108"/>
      <c r="AA107" s="108"/>
    </row>
    <row r="108" spans="2:27" x14ac:dyDescent="0.2">
      <c r="B108" s="33" t="s">
        <v>212</v>
      </c>
      <c r="C108" s="6"/>
      <c r="D108" s="31"/>
      <c r="E108" s="32"/>
      <c r="F108" s="31"/>
      <c r="G108" s="6"/>
      <c r="H108" s="61"/>
      <c r="I108" s="6"/>
      <c r="J108" s="61"/>
      <c r="K108" s="34"/>
      <c r="L108" s="223"/>
      <c r="M108" s="63"/>
      <c r="N108" s="223"/>
      <c r="O108" s="22"/>
      <c r="P108" s="61"/>
      <c r="Q108" s="61"/>
      <c r="R108" s="61"/>
      <c r="S108" s="61"/>
      <c r="T108" s="61"/>
      <c r="U108" s="61"/>
      <c r="V108" s="62"/>
      <c r="X108" s="107"/>
      <c r="Y108" s="107"/>
      <c r="Z108" s="108"/>
      <c r="AA108" s="108"/>
    </row>
    <row r="109" spans="2:27" x14ac:dyDescent="0.2">
      <c r="B109" s="30" t="s">
        <v>565</v>
      </c>
      <c r="C109" s="6">
        <v>96</v>
      </c>
      <c r="D109" s="22">
        <v>16538000</v>
      </c>
      <c r="E109" s="32">
        <v>5.5E-2</v>
      </c>
      <c r="F109" s="22">
        <f t="shared" ref="F109:F135" si="120">+ROUND((D109*E109)+D109,-3)</f>
        <v>17448000</v>
      </c>
      <c r="G109" s="32">
        <v>1.4999999999999999E-2</v>
      </c>
      <c r="H109" s="22">
        <f t="shared" ref="H109" si="121">+(F109*G109)+F109</f>
        <v>17709720</v>
      </c>
      <c r="I109" s="32">
        <v>0.02</v>
      </c>
      <c r="J109" s="22">
        <f>+(F109*I109)+F109</f>
        <v>17796960</v>
      </c>
      <c r="K109" s="63">
        <v>9</v>
      </c>
      <c r="L109" s="22">
        <v>45367424</v>
      </c>
      <c r="M109" s="63">
        <v>13</v>
      </c>
      <c r="N109" s="22">
        <v>80264244</v>
      </c>
      <c r="O109" s="22">
        <f t="shared" ref="O109:O135" si="122">L109+N109</f>
        <v>125631668</v>
      </c>
      <c r="P109" s="22">
        <f t="shared" ref="P109:P135" si="123">L109/(1+E109)</f>
        <v>43002297.630331755</v>
      </c>
      <c r="Q109" s="61">
        <f t="shared" ref="Q109:Q135" si="124">(P109*$Q$8)+P109</f>
        <v>44971802.861800946</v>
      </c>
      <c r="R109" s="61">
        <f t="shared" ref="R109:R135" si="125">L109-Q109</f>
        <v>395621.1381990537</v>
      </c>
      <c r="S109" s="61">
        <f t="shared" ref="S109:S135" si="126">N109/(1+E109)</f>
        <v>76079852.132701427</v>
      </c>
      <c r="T109" s="61">
        <f t="shared" ref="T109:T135" si="127">(S109*$T$8)+S109</f>
        <v>79564309.360379159</v>
      </c>
      <c r="U109" s="61">
        <f t="shared" ref="U109:U135" si="128">N109-T109</f>
        <v>699934.63962084055</v>
      </c>
      <c r="V109" s="61">
        <f t="shared" ref="V109:V135" si="129">R109+U109</f>
        <v>1095555.7778198943</v>
      </c>
      <c r="X109" s="107"/>
      <c r="Y109" s="107"/>
      <c r="Z109" s="108"/>
      <c r="AA109" s="108"/>
    </row>
    <row r="110" spans="2:27" x14ac:dyDescent="0.2">
      <c r="B110" s="30" t="s">
        <v>366</v>
      </c>
      <c r="C110" s="6">
        <v>35</v>
      </c>
      <c r="D110" s="22">
        <v>9102000</v>
      </c>
      <c r="E110" s="32">
        <v>5.5E-2</v>
      </c>
      <c r="F110" s="22">
        <f t="shared" si="120"/>
        <v>9603000</v>
      </c>
      <c r="G110" s="32">
        <v>1.4999999999999999E-2</v>
      </c>
      <c r="H110" s="22">
        <f t="shared" ref="H110:H135" si="130">+(F110*G110)+F110</f>
        <v>9747045</v>
      </c>
      <c r="I110" s="32">
        <v>0.02</v>
      </c>
      <c r="J110" s="22">
        <f>+(F110*I110)+F110</f>
        <v>9795060</v>
      </c>
      <c r="K110" s="63">
        <v>22</v>
      </c>
      <c r="L110" s="22">
        <v>206766000</v>
      </c>
      <c r="M110" s="63">
        <v>22</v>
      </c>
      <c r="N110" s="22">
        <v>206766000</v>
      </c>
      <c r="O110" s="22">
        <f t="shared" si="122"/>
        <v>413532000</v>
      </c>
      <c r="P110" s="22">
        <f t="shared" si="123"/>
        <v>195986729.85781991</v>
      </c>
      <c r="Q110" s="61">
        <f t="shared" si="124"/>
        <v>204962922.08530807</v>
      </c>
      <c r="R110" s="61">
        <f t="shared" si="125"/>
        <v>1803077.914691925</v>
      </c>
      <c r="S110" s="61">
        <f t="shared" si="126"/>
        <v>195986729.85781991</v>
      </c>
      <c r="T110" s="61">
        <f t="shared" si="127"/>
        <v>204962922.08530807</v>
      </c>
      <c r="U110" s="61">
        <f t="shared" si="128"/>
        <v>1803077.914691925</v>
      </c>
      <c r="V110" s="61">
        <f t="shared" si="129"/>
        <v>3606155.8293838501</v>
      </c>
      <c r="X110" s="107"/>
      <c r="Y110" s="107"/>
      <c r="Z110" s="108"/>
      <c r="AA110" s="108"/>
    </row>
    <row r="111" spans="2:27" x14ac:dyDescent="0.2">
      <c r="B111" s="30" t="s">
        <v>95</v>
      </c>
      <c r="C111" s="6">
        <v>24</v>
      </c>
      <c r="D111" s="22">
        <v>10178000</v>
      </c>
      <c r="E111" s="32">
        <v>5.5E-2</v>
      </c>
      <c r="F111" s="22">
        <f t="shared" si="120"/>
        <v>10738000</v>
      </c>
      <c r="G111" s="32">
        <v>1.4999999999999999E-2</v>
      </c>
      <c r="H111" s="22">
        <f t="shared" si="130"/>
        <v>10899070</v>
      </c>
      <c r="I111" s="32">
        <v>0.02</v>
      </c>
      <c r="J111" s="22">
        <f t="shared" ref="J111:J117" si="131">+(F111*I111)+F111</f>
        <v>10952760</v>
      </c>
      <c r="K111" s="63">
        <v>68</v>
      </c>
      <c r="L111" s="22">
        <v>717298400</v>
      </c>
      <c r="M111" s="63">
        <v>59</v>
      </c>
      <c r="N111" s="22">
        <v>620656400</v>
      </c>
      <c r="O111" s="22">
        <f t="shared" si="122"/>
        <v>1337954800</v>
      </c>
      <c r="P111" s="22">
        <f t="shared" si="123"/>
        <v>679903696.68246448</v>
      </c>
      <c r="Q111" s="61">
        <f t="shared" si="124"/>
        <v>711043285.99052131</v>
      </c>
      <c r="R111" s="61">
        <f t="shared" si="125"/>
        <v>6255114.0094786882</v>
      </c>
      <c r="S111" s="61">
        <f t="shared" si="126"/>
        <v>588299905.21327019</v>
      </c>
      <c r="T111" s="61">
        <f t="shared" si="127"/>
        <v>615244040.87203801</v>
      </c>
      <c r="U111" s="61">
        <f t="shared" si="128"/>
        <v>5412359.1279619932</v>
      </c>
      <c r="V111" s="61">
        <f t="shared" si="129"/>
        <v>11667473.137440681</v>
      </c>
      <c r="X111" s="107"/>
      <c r="Y111" s="107"/>
      <c r="Z111" s="108"/>
      <c r="AA111" s="108"/>
    </row>
    <row r="112" spans="2:27" x14ac:dyDescent="0.2">
      <c r="B112" s="30" t="s">
        <v>383</v>
      </c>
      <c r="C112" s="6">
        <v>24</v>
      </c>
      <c r="D112" s="22">
        <v>10130000</v>
      </c>
      <c r="E112" s="32">
        <v>5.5E-2</v>
      </c>
      <c r="F112" s="22">
        <f t="shared" ref="F112" si="132">+ROUND((D112*E112)+D112,-3)</f>
        <v>10687000</v>
      </c>
      <c r="G112" s="32">
        <v>1.4999999999999999E-2</v>
      </c>
      <c r="H112" s="22">
        <f t="shared" ref="H112" si="133">+(F112*G112)+F112</f>
        <v>10847305</v>
      </c>
      <c r="I112" s="32">
        <v>0.02</v>
      </c>
      <c r="J112" s="22">
        <f t="shared" si="131"/>
        <v>10900740</v>
      </c>
      <c r="K112" s="63">
        <v>8</v>
      </c>
      <c r="L112" s="22">
        <v>83348400</v>
      </c>
      <c r="M112" s="63">
        <v>10</v>
      </c>
      <c r="N112" s="22">
        <v>106870000</v>
      </c>
      <c r="O112" s="22">
        <f t="shared" si="122"/>
        <v>190218400</v>
      </c>
      <c r="P112" s="22">
        <f t="shared" si="123"/>
        <v>79003222.748815164</v>
      </c>
      <c r="Q112" s="61">
        <f t="shared" si="124"/>
        <v>82621570.350710899</v>
      </c>
      <c r="R112" s="61">
        <f t="shared" si="125"/>
        <v>726829.64928910136</v>
      </c>
      <c r="S112" s="61">
        <f t="shared" si="126"/>
        <v>101298578.19905214</v>
      </c>
      <c r="T112" s="61">
        <f t="shared" si="127"/>
        <v>105938053.08056873</v>
      </c>
      <c r="U112" s="61">
        <f t="shared" si="128"/>
        <v>931946.91943126917</v>
      </c>
      <c r="V112" s="61">
        <f t="shared" si="129"/>
        <v>1658776.5687203705</v>
      </c>
      <c r="X112" s="107"/>
      <c r="Y112" s="107"/>
      <c r="Z112" s="108"/>
      <c r="AA112" s="108"/>
    </row>
    <row r="113" spans="2:27" x14ac:dyDescent="0.2">
      <c r="B113" s="30" t="s">
        <v>93</v>
      </c>
      <c r="C113" s="6">
        <v>24</v>
      </c>
      <c r="D113" s="22">
        <v>10130000</v>
      </c>
      <c r="E113" s="32">
        <v>5.5E-2</v>
      </c>
      <c r="F113" s="22">
        <f t="shared" si="120"/>
        <v>10687000</v>
      </c>
      <c r="G113" s="32">
        <v>1.4999999999999999E-2</v>
      </c>
      <c r="H113" s="22">
        <f t="shared" si="130"/>
        <v>10847305</v>
      </c>
      <c r="I113" s="32">
        <v>0.02</v>
      </c>
      <c r="J113" s="22">
        <f t="shared" si="131"/>
        <v>10900740</v>
      </c>
      <c r="K113" s="63">
        <v>7</v>
      </c>
      <c r="L113" s="22">
        <v>74809000</v>
      </c>
      <c r="M113" s="63">
        <v>10</v>
      </c>
      <c r="N113" s="22">
        <v>106870000</v>
      </c>
      <c r="O113" s="22">
        <f t="shared" si="122"/>
        <v>181679000</v>
      </c>
      <c r="P113" s="22">
        <f t="shared" si="123"/>
        <v>70909004.739336491</v>
      </c>
      <c r="Q113" s="61">
        <f t="shared" si="124"/>
        <v>74156637.156398103</v>
      </c>
      <c r="R113" s="61">
        <f t="shared" si="125"/>
        <v>652362.84360189736</v>
      </c>
      <c r="S113" s="61">
        <f t="shared" si="126"/>
        <v>101298578.19905214</v>
      </c>
      <c r="T113" s="61">
        <f t="shared" si="127"/>
        <v>105938053.08056873</v>
      </c>
      <c r="U113" s="61">
        <f t="shared" si="128"/>
        <v>931946.91943126917</v>
      </c>
      <c r="V113" s="61">
        <f t="shared" si="129"/>
        <v>1584309.7630331665</v>
      </c>
      <c r="X113" s="107"/>
      <c r="Y113" s="107"/>
      <c r="Z113" s="108"/>
      <c r="AA113" s="108"/>
    </row>
    <row r="114" spans="2:27" x14ac:dyDescent="0.2">
      <c r="B114" s="30" t="s">
        <v>180</v>
      </c>
      <c r="C114" s="6">
        <v>24</v>
      </c>
      <c r="D114" s="22">
        <v>10178000</v>
      </c>
      <c r="E114" s="32">
        <v>5.5E-2</v>
      </c>
      <c r="F114" s="22">
        <f t="shared" si="120"/>
        <v>10738000</v>
      </c>
      <c r="G114" s="32">
        <v>1.4999999999999999E-2</v>
      </c>
      <c r="H114" s="22">
        <f t="shared" si="130"/>
        <v>10899070</v>
      </c>
      <c r="I114" s="32">
        <v>0.02</v>
      </c>
      <c r="J114" s="22">
        <f t="shared" si="131"/>
        <v>10952760</v>
      </c>
      <c r="K114" s="63">
        <v>37</v>
      </c>
      <c r="L114" s="22">
        <v>389789400</v>
      </c>
      <c r="M114" s="63">
        <v>33</v>
      </c>
      <c r="N114" s="22">
        <v>346837400</v>
      </c>
      <c r="O114" s="22">
        <f t="shared" si="122"/>
        <v>736626800</v>
      </c>
      <c r="P114" s="22">
        <f t="shared" si="123"/>
        <v>369468625.59241706</v>
      </c>
      <c r="Q114" s="61">
        <f t="shared" si="124"/>
        <v>386390288.64454979</v>
      </c>
      <c r="R114" s="61">
        <f t="shared" si="125"/>
        <v>3399111.355450213</v>
      </c>
      <c r="S114" s="61">
        <f t="shared" si="126"/>
        <v>328755829.38388628</v>
      </c>
      <c r="T114" s="61">
        <f t="shared" si="127"/>
        <v>343812846.36966825</v>
      </c>
      <c r="U114" s="61">
        <f t="shared" si="128"/>
        <v>3024553.6303317547</v>
      </c>
      <c r="V114" s="61">
        <f t="shared" si="129"/>
        <v>6423664.9857819676</v>
      </c>
      <c r="X114" s="107"/>
      <c r="Y114" s="107"/>
      <c r="Z114" s="108"/>
      <c r="AA114" s="108"/>
    </row>
    <row r="115" spans="2:27" x14ac:dyDescent="0.2">
      <c r="B115" s="30" t="s">
        <v>92</v>
      </c>
      <c r="C115" s="6">
        <v>24</v>
      </c>
      <c r="D115" s="22">
        <v>10130000</v>
      </c>
      <c r="E115" s="32">
        <v>5.5E-2</v>
      </c>
      <c r="F115" s="22">
        <f t="shared" si="120"/>
        <v>10687000</v>
      </c>
      <c r="G115" s="32">
        <v>1.4999999999999999E-2</v>
      </c>
      <c r="H115" s="22">
        <f t="shared" si="130"/>
        <v>10847305</v>
      </c>
      <c r="I115" s="32">
        <v>0.02</v>
      </c>
      <c r="J115" s="22">
        <f t="shared" si="131"/>
        <v>10900740</v>
      </c>
      <c r="K115" s="63">
        <v>2</v>
      </c>
      <c r="L115" s="22">
        <v>21374000</v>
      </c>
      <c r="M115" s="63">
        <v>0</v>
      </c>
      <c r="N115" s="22">
        <v>0</v>
      </c>
      <c r="O115" s="22">
        <f t="shared" si="122"/>
        <v>21374000</v>
      </c>
      <c r="P115" s="22">
        <f t="shared" si="123"/>
        <v>20259715.639810428</v>
      </c>
      <c r="Q115" s="61">
        <f t="shared" si="124"/>
        <v>21187610.616113745</v>
      </c>
      <c r="R115" s="61">
        <f t="shared" si="125"/>
        <v>186389.38388625532</v>
      </c>
      <c r="S115" s="61">
        <f t="shared" si="126"/>
        <v>0</v>
      </c>
      <c r="T115" s="61">
        <f t="shared" si="127"/>
        <v>0</v>
      </c>
      <c r="U115" s="61">
        <f t="shared" si="128"/>
        <v>0</v>
      </c>
      <c r="V115" s="61">
        <f t="shared" si="129"/>
        <v>186389.38388625532</v>
      </c>
      <c r="X115" s="107"/>
      <c r="Y115" s="107"/>
      <c r="Z115" s="108"/>
      <c r="AA115" s="108"/>
    </row>
    <row r="116" spans="2:27" x14ac:dyDescent="0.2">
      <c r="B116" s="30" t="s">
        <v>384</v>
      </c>
      <c r="C116" s="6">
        <v>24</v>
      </c>
      <c r="D116" s="22">
        <v>10130000</v>
      </c>
      <c r="E116" s="32">
        <v>5.5E-2</v>
      </c>
      <c r="F116" s="22">
        <f t="shared" si="120"/>
        <v>10687000</v>
      </c>
      <c r="G116" s="32">
        <v>1.4999999999999999E-2</v>
      </c>
      <c r="H116" s="22">
        <f t="shared" si="130"/>
        <v>10847305</v>
      </c>
      <c r="I116" s="32">
        <v>0.02</v>
      </c>
      <c r="J116" s="22">
        <f t="shared" si="131"/>
        <v>10900740</v>
      </c>
      <c r="K116" s="63">
        <v>0</v>
      </c>
      <c r="L116" s="22">
        <v>0</v>
      </c>
      <c r="M116" s="63">
        <v>0</v>
      </c>
      <c r="N116" s="22">
        <v>0</v>
      </c>
      <c r="O116" s="22">
        <f t="shared" si="122"/>
        <v>0</v>
      </c>
      <c r="P116" s="22">
        <f t="shared" si="123"/>
        <v>0</v>
      </c>
      <c r="Q116" s="61">
        <f t="shared" si="124"/>
        <v>0</v>
      </c>
      <c r="R116" s="61">
        <f t="shared" si="125"/>
        <v>0</v>
      </c>
      <c r="S116" s="61">
        <f t="shared" si="126"/>
        <v>0</v>
      </c>
      <c r="T116" s="61">
        <f t="shared" si="127"/>
        <v>0</v>
      </c>
      <c r="U116" s="61">
        <f t="shared" si="128"/>
        <v>0</v>
      </c>
      <c r="V116" s="61">
        <f t="shared" si="129"/>
        <v>0</v>
      </c>
      <c r="X116" s="107"/>
      <c r="Y116" s="107"/>
      <c r="Z116" s="108"/>
      <c r="AA116" s="108"/>
    </row>
    <row r="117" spans="2:27" x14ac:dyDescent="0.2">
      <c r="B117" s="30" t="s">
        <v>94</v>
      </c>
      <c r="C117" s="6">
        <v>24</v>
      </c>
      <c r="D117" s="22">
        <v>9527000</v>
      </c>
      <c r="E117" s="32">
        <v>5.5E-2</v>
      </c>
      <c r="F117" s="22">
        <f t="shared" si="120"/>
        <v>10051000</v>
      </c>
      <c r="G117" s="32">
        <v>1.4999999999999999E-2</v>
      </c>
      <c r="H117" s="22">
        <f t="shared" si="130"/>
        <v>10201765</v>
      </c>
      <c r="I117" s="32">
        <v>0.02</v>
      </c>
      <c r="J117" s="22">
        <f t="shared" si="131"/>
        <v>10252020</v>
      </c>
      <c r="K117" s="63">
        <v>22</v>
      </c>
      <c r="L117" s="22">
        <v>216096500</v>
      </c>
      <c r="M117" s="63">
        <v>15</v>
      </c>
      <c r="N117" s="22">
        <v>145739500</v>
      </c>
      <c r="O117" s="22">
        <f t="shared" si="122"/>
        <v>361836000</v>
      </c>
      <c r="P117" s="22">
        <f t="shared" si="123"/>
        <v>204830805.68720379</v>
      </c>
      <c r="Q117" s="61">
        <f t="shared" si="124"/>
        <v>214212056.58767772</v>
      </c>
      <c r="R117" s="61">
        <f t="shared" si="125"/>
        <v>1884443.4123222828</v>
      </c>
      <c r="S117" s="61">
        <f t="shared" si="126"/>
        <v>138141706.16113746</v>
      </c>
      <c r="T117" s="61">
        <f t="shared" si="127"/>
        <v>144468596.30331755</v>
      </c>
      <c r="U117" s="61">
        <f t="shared" si="128"/>
        <v>1270903.6966824532</v>
      </c>
      <c r="V117" s="61">
        <f t="shared" si="129"/>
        <v>3155347.1090047359</v>
      </c>
      <c r="X117" s="107"/>
      <c r="Y117" s="107"/>
      <c r="Z117" s="108"/>
      <c r="AA117" s="108"/>
    </row>
    <row r="118" spans="2:27" x14ac:dyDescent="0.2">
      <c r="B118" s="30" t="s">
        <v>86</v>
      </c>
      <c r="C118" s="6">
        <v>24</v>
      </c>
      <c r="D118" s="22">
        <v>7839000</v>
      </c>
      <c r="E118" s="32">
        <v>5.5E-2</v>
      </c>
      <c r="F118" s="22">
        <f t="shared" si="120"/>
        <v>8270000</v>
      </c>
      <c r="G118" s="32">
        <v>1.4999999999999999E-2</v>
      </c>
      <c r="H118" s="22">
        <f t="shared" si="130"/>
        <v>8394050</v>
      </c>
      <c r="I118" s="32">
        <v>0.02</v>
      </c>
      <c r="J118" s="22">
        <f t="shared" ref="J118:J125" si="134">+(F118*I118)+F118</f>
        <v>8435400</v>
      </c>
      <c r="K118" s="63">
        <v>15</v>
      </c>
      <c r="L118" s="22">
        <v>120293500</v>
      </c>
      <c r="M118" s="63">
        <v>14</v>
      </c>
      <c r="N118" s="22">
        <v>112058500</v>
      </c>
      <c r="O118" s="22">
        <f t="shared" si="122"/>
        <v>232352000</v>
      </c>
      <c r="P118" s="22">
        <f t="shared" si="123"/>
        <v>114022274.88151659</v>
      </c>
      <c r="Q118" s="61">
        <f t="shared" si="124"/>
        <v>119244495.07109006</v>
      </c>
      <c r="R118" s="61">
        <f t="shared" si="125"/>
        <v>1049004.9289099425</v>
      </c>
      <c r="S118" s="61">
        <f t="shared" si="126"/>
        <v>106216587.67772512</v>
      </c>
      <c r="T118" s="61">
        <f t="shared" si="127"/>
        <v>111081307.39336494</v>
      </c>
      <c r="U118" s="61">
        <f t="shared" si="128"/>
        <v>977192.60663506389</v>
      </c>
      <c r="V118" s="61">
        <f t="shared" si="129"/>
        <v>2026197.5355450064</v>
      </c>
      <c r="X118" s="107"/>
      <c r="Y118" s="107"/>
      <c r="Z118" s="108"/>
      <c r="AA118" s="108"/>
    </row>
    <row r="119" spans="2:27" x14ac:dyDescent="0.2">
      <c r="B119" s="30" t="s">
        <v>88</v>
      </c>
      <c r="C119" s="6">
        <v>37</v>
      </c>
      <c r="D119" s="22">
        <v>12228000</v>
      </c>
      <c r="E119" s="32">
        <v>5.5E-2</v>
      </c>
      <c r="F119" s="22">
        <f t="shared" si="120"/>
        <v>12901000</v>
      </c>
      <c r="G119" s="32">
        <v>1.4999999999999999E-2</v>
      </c>
      <c r="H119" s="22">
        <f t="shared" si="130"/>
        <v>13094515</v>
      </c>
      <c r="I119" s="32">
        <v>0.02</v>
      </c>
      <c r="J119" s="22">
        <f t="shared" si="134"/>
        <v>13159020</v>
      </c>
      <c r="K119" s="63">
        <v>14</v>
      </c>
      <c r="L119" s="22">
        <v>174614000</v>
      </c>
      <c r="M119" s="63">
        <v>16</v>
      </c>
      <c r="N119" s="22">
        <v>200416000</v>
      </c>
      <c r="O119" s="22">
        <f t="shared" si="122"/>
        <v>375030000</v>
      </c>
      <c r="P119" s="22">
        <f t="shared" si="123"/>
        <v>165510900.47393367</v>
      </c>
      <c r="Q119" s="61">
        <f t="shared" si="124"/>
        <v>173091299.71563983</v>
      </c>
      <c r="R119" s="61">
        <f t="shared" si="125"/>
        <v>1522700.2843601704</v>
      </c>
      <c r="S119" s="61">
        <f t="shared" si="126"/>
        <v>189967772.51184836</v>
      </c>
      <c r="T119" s="61">
        <f t="shared" si="127"/>
        <v>198668296.49289101</v>
      </c>
      <c r="U119" s="61">
        <f t="shared" si="128"/>
        <v>1747703.5071089864</v>
      </c>
      <c r="V119" s="61">
        <f t="shared" si="129"/>
        <v>3270403.7914691567</v>
      </c>
      <c r="X119" s="107"/>
      <c r="Y119" s="107"/>
      <c r="Z119" s="108"/>
      <c r="AA119" s="108"/>
    </row>
    <row r="120" spans="2:27" x14ac:dyDescent="0.2">
      <c r="B120" s="30" t="s">
        <v>569</v>
      </c>
      <c r="C120" s="6">
        <v>24</v>
      </c>
      <c r="D120" s="22">
        <v>14175000</v>
      </c>
      <c r="E120" s="32">
        <v>5.5E-2</v>
      </c>
      <c r="F120" s="22">
        <f t="shared" si="120"/>
        <v>14955000</v>
      </c>
      <c r="G120" s="32">
        <v>1.4999999999999999E-2</v>
      </c>
      <c r="H120" s="22">
        <f t="shared" si="130"/>
        <v>15179325</v>
      </c>
      <c r="I120" s="32">
        <v>0.02</v>
      </c>
      <c r="J120" s="22">
        <f t="shared" si="134"/>
        <v>15254100</v>
      </c>
      <c r="K120" s="63">
        <v>89</v>
      </c>
      <c r="L120" s="22">
        <v>1223475200</v>
      </c>
      <c r="M120" s="63">
        <v>80</v>
      </c>
      <c r="N120" s="22">
        <v>1094264000</v>
      </c>
      <c r="O120" s="22">
        <f t="shared" si="122"/>
        <v>2317739200</v>
      </c>
      <c r="P120" s="22">
        <f t="shared" si="123"/>
        <v>1159692132.701422</v>
      </c>
      <c r="Q120" s="61">
        <f t="shared" si="124"/>
        <v>1212806032.3791471</v>
      </c>
      <c r="R120" s="61">
        <f t="shared" si="125"/>
        <v>10669167.620852947</v>
      </c>
      <c r="S120" s="61">
        <f t="shared" si="126"/>
        <v>1037217061.6113745</v>
      </c>
      <c r="T120" s="61">
        <f t="shared" si="127"/>
        <v>1084721603.0331755</v>
      </c>
      <c r="U120" s="61">
        <f t="shared" si="128"/>
        <v>9542396.9668245316</v>
      </c>
      <c r="V120" s="61">
        <f t="shared" si="129"/>
        <v>20211564.587677479</v>
      </c>
      <c r="X120" s="107"/>
      <c r="Y120" s="107"/>
      <c r="Z120" s="108"/>
      <c r="AA120" s="108"/>
    </row>
    <row r="121" spans="2:27" x14ac:dyDescent="0.2">
      <c r="B121" s="30" t="s">
        <v>566</v>
      </c>
      <c r="C121" s="6">
        <v>24</v>
      </c>
      <c r="D121" s="22">
        <v>14175000</v>
      </c>
      <c r="E121" s="32">
        <v>5.5E-2</v>
      </c>
      <c r="F121" s="22">
        <f t="shared" si="120"/>
        <v>14955000</v>
      </c>
      <c r="G121" s="32">
        <v>1.4999999999999999E-2</v>
      </c>
      <c r="H121" s="22">
        <f t="shared" si="130"/>
        <v>15179325</v>
      </c>
      <c r="I121" s="32">
        <v>0.02</v>
      </c>
      <c r="J121" s="22">
        <f t="shared" si="134"/>
        <v>15254100</v>
      </c>
      <c r="K121" s="63">
        <v>62</v>
      </c>
      <c r="L121" s="22">
        <v>888402500</v>
      </c>
      <c r="M121" s="63">
        <v>54</v>
      </c>
      <c r="N121" s="22">
        <v>768762500</v>
      </c>
      <c r="O121" s="22">
        <f t="shared" si="122"/>
        <v>1657165000</v>
      </c>
      <c r="P121" s="22">
        <f t="shared" si="123"/>
        <v>842087677.72511852</v>
      </c>
      <c r="Q121" s="61">
        <f t="shared" si="124"/>
        <v>880655293.36492896</v>
      </c>
      <c r="R121" s="61">
        <f t="shared" si="125"/>
        <v>7747206.6350710392</v>
      </c>
      <c r="S121" s="61">
        <f t="shared" si="126"/>
        <v>728684834.12322283</v>
      </c>
      <c r="T121" s="61">
        <f t="shared" si="127"/>
        <v>762058599.52606642</v>
      </c>
      <c r="U121" s="61">
        <f t="shared" si="128"/>
        <v>6703900.4739335775</v>
      </c>
      <c r="V121" s="61">
        <f t="shared" si="129"/>
        <v>14451107.109004617</v>
      </c>
      <c r="X121" s="107"/>
      <c r="Y121" s="107"/>
      <c r="Z121" s="108"/>
      <c r="AA121" s="108"/>
    </row>
    <row r="122" spans="2:27" x14ac:dyDescent="0.2">
      <c r="B122" s="30" t="s">
        <v>89</v>
      </c>
      <c r="C122" s="6">
        <v>24</v>
      </c>
      <c r="D122" s="22">
        <v>14175000</v>
      </c>
      <c r="E122" s="32">
        <v>5.5E-2</v>
      </c>
      <c r="F122" s="22">
        <f t="shared" si="120"/>
        <v>14955000</v>
      </c>
      <c r="G122" s="32">
        <v>1.4999999999999999E-2</v>
      </c>
      <c r="H122" s="22">
        <f t="shared" si="130"/>
        <v>15179325</v>
      </c>
      <c r="I122" s="32">
        <v>0.02</v>
      </c>
      <c r="J122" s="22">
        <f t="shared" si="134"/>
        <v>15254100</v>
      </c>
      <c r="K122" s="63">
        <v>50</v>
      </c>
      <c r="L122" s="22">
        <v>702371250</v>
      </c>
      <c r="M122" s="63">
        <v>48</v>
      </c>
      <c r="N122" s="22">
        <v>673508100</v>
      </c>
      <c r="O122" s="22">
        <f t="shared" si="122"/>
        <v>1375879350</v>
      </c>
      <c r="P122" s="22">
        <f t="shared" si="123"/>
        <v>665754739.3364929</v>
      </c>
      <c r="Q122" s="61">
        <f t="shared" si="124"/>
        <v>696246306.39810431</v>
      </c>
      <c r="R122" s="61">
        <f t="shared" si="125"/>
        <v>6124943.60189569</v>
      </c>
      <c r="S122" s="61">
        <f t="shared" si="126"/>
        <v>638396303.31753564</v>
      </c>
      <c r="T122" s="61">
        <f t="shared" si="127"/>
        <v>667634854.00947881</v>
      </c>
      <c r="U122" s="61">
        <f t="shared" si="128"/>
        <v>5873245.9905211926</v>
      </c>
      <c r="V122" s="61">
        <f t="shared" si="129"/>
        <v>11998189.592416883</v>
      </c>
      <c r="X122" s="107"/>
      <c r="Y122" s="107"/>
      <c r="Z122" s="108"/>
      <c r="AA122" s="108"/>
    </row>
    <row r="123" spans="2:27" x14ac:dyDescent="0.2">
      <c r="B123" s="30" t="s">
        <v>568</v>
      </c>
      <c r="C123" s="6">
        <v>32</v>
      </c>
      <c r="D123" s="22">
        <v>11825000</v>
      </c>
      <c r="E123" s="32">
        <v>5.5E-2</v>
      </c>
      <c r="F123" s="22">
        <f t="shared" si="120"/>
        <v>12475000</v>
      </c>
      <c r="G123" s="32">
        <v>1.4999999999999999E-2</v>
      </c>
      <c r="H123" s="22">
        <f t="shared" si="130"/>
        <v>12662125</v>
      </c>
      <c r="I123" s="32">
        <v>0.02</v>
      </c>
      <c r="J123" s="22">
        <f t="shared" si="134"/>
        <v>12724500</v>
      </c>
      <c r="K123" s="63">
        <v>14</v>
      </c>
      <c r="L123" s="22">
        <v>169650000</v>
      </c>
      <c r="M123" s="63">
        <v>14</v>
      </c>
      <c r="N123" s="22">
        <v>169650000</v>
      </c>
      <c r="O123" s="22">
        <f t="shared" si="122"/>
        <v>339300000</v>
      </c>
      <c r="P123" s="22">
        <f t="shared" si="123"/>
        <v>160805687.20379147</v>
      </c>
      <c r="Q123" s="61">
        <f t="shared" si="124"/>
        <v>168170587.67772511</v>
      </c>
      <c r="R123" s="61">
        <f t="shared" si="125"/>
        <v>1479412.3222748935</v>
      </c>
      <c r="S123" s="61">
        <f t="shared" si="126"/>
        <v>160805687.20379147</v>
      </c>
      <c r="T123" s="61">
        <f t="shared" si="127"/>
        <v>168170587.67772511</v>
      </c>
      <c r="U123" s="61">
        <f t="shared" si="128"/>
        <v>1479412.3222748935</v>
      </c>
      <c r="V123" s="61">
        <f t="shared" si="129"/>
        <v>2958824.644549787</v>
      </c>
      <c r="X123" s="107"/>
      <c r="Y123" s="107"/>
      <c r="Z123" s="108"/>
      <c r="AA123" s="108"/>
    </row>
    <row r="124" spans="2:27" x14ac:dyDescent="0.2">
      <c r="B124" s="30" t="s">
        <v>90</v>
      </c>
      <c r="C124" s="6">
        <v>24</v>
      </c>
      <c r="D124" s="22">
        <v>14175000</v>
      </c>
      <c r="E124" s="32">
        <v>5.5E-2</v>
      </c>
      <c r="F124" s="22">
        <f t="shared" si="120"/>
        <v>14955000</v>
      </c>
      <c r="G124" s="32">
        <v>1.4999999999999999E-2</v>
      </c>
      <c r="H124" s="22">
        <f t="shared" si="130"/>
        <v>15179325</v>
      </c>
      <c r="I124" s="32">
        <v>0.02</v>
      </c>
      <c r="J124" s="22">
        <f t="shared" si="134"/>
        <v>15254100</v>
      </c>
      <c r="K124" s="63">
        <v>16</v>
      </c>
      <c r="L124" s="22">
        <v>219539400</v>
      </c>
      <c r="M124" s="63">
        <v>16</v>
      </c>
      <c r="N124" s="22">
        <v>219539400</v>
      </c>
      <c r="O124" s="22">
        <f t="shared" si="122"/>
        <v>439078800</v>
      </c>
      <c r="P124" s="22">
        <f t="shared" si="123"/>
        <v>208094218.00947869</v>
      </c>
      <c r="Q124" s="61">
        <f t="shared" si="124"/>
        <v>217624933.19431281</v>
      </c>
      <c r="R124" s="61">
        <f t="shared" si="125"/>
        <v>1914466.8056871891</v>
      </c>
      <c r="S124" s="61">
        <f t="shared" si="126"/>
        <v>208094218.00947869</v>
      </c>
      <c r="T124" s="61">
        <f t="shared" si="127"/>
        <v>217624933.19431281</v>
      </c>
      <c r="U124" s="61">
        <f t="shared" si="128"/>
        <v>1914466.8056871891</v>
      </c>
      <c r="V124" s="61">
        <f t="shared" si="129"/>
        <v>3828933.6113743782</v>
      </c>
      <c r="X124" s="107"/>
      <c r="Y124" s="107"/>
      <c r="Z124" s="108"/>
      <c r="AA124" s="108"/>
    </row>
    <row r="125" spans="2:27" x14ac:dyDescent="0.2">
      <c r="B125" s="30" t="s">
        <v>567</v>
      </c>
      <c r="C125" s="6">
        <v>24</v>
      </c>
      <c r="D125" s="22">
        <v>14175000</v>
      </c>
      <c r="E125" s="32">
        <v>5.5E-2</v>
      </c>
      <c r="F125" s="22">
        <f t="shared" si="120"/>
        <v>14955000</v>
      </c>
      <c r="G125" s="32">
        <v>1.4999999999999999E-2</v>
      </c>
      <c r="H125" s="22">
        <f t="shared" si="130"/>
        <v>15179325</v>
      </c>
      <c r="I125" s="32">
        <v>0.02</v>
      </c>
      <c r="J125" s="22">
        <f t="shared" si="134"/>
        <v>15254100</v>
      </c>
      <c r="K125" s="63">
        <v>55</v>
      </c>
      <c r="L125" s="22">
        <v>778641750</v>
      </c>
      <c r="M125" s="63">
        <v>50</v>
      </c>
      <c r="N125" s="22">
        <v>706110000</v>
      </c>
      <c r="O125" s="22">
        <f t="shared" si="122"/>
        <v>1484751750</v>
      </c>
      <c r="P125" s="22">
        <f t="shared" si="123"/>
        <v>738049052.13270152</v>
      </c>
      <c r="Q125" s="61">
        <f t="shared" si="124"/>
        <v>771851698.72037923</v>
      </c>
      <c r="R125" s="61">
        <f t="shared" si="125"/>
        <v>6790051.2796207666</v>
      </c>
      <c r="S125" s="61">
        <f t="shared" si="126"/>
        <v>669298578.19905221</v>
      </c>
      <c r="T125" s="61">
        <f t="shared" si="127"/>
        <v>699952453.08056879</v>
      </c>
      <c r="U125" s="61">
        <f t="shared" si="128"/>
        <v>6157546.9194312096</v>
      </c>
      <c r="V125" s="61">
        <f t="shared" si="129"/>
        <v>12947598.199051976</v>
      </c>
      <c r="X125" s="107"/>
      <c r="Y125" s="107"/>
      <c r="Z125" s="108"/>
      <c r="AA125" s="108"/>
    </row>
    <row r="126" spans="2:27" x14ac:dyDescent="0.2">
      <c r="B126" s="30" t="s">
        <v>91</v>
      </c>
      <c r="C126" s="6">
        <v>24</v>
      </c>
      <c r="D126" s="22">
        <v>10178000</v>
      </c>
      <c r="E126" s="32">
        <v>5.5E-2</v>
      </c>
      <c r="F126" s="22">
        <f t="shared" si="120"/>
        <v>10738000</v>
      </c>
      <c r="G126" s="32">
        <v>1.4999999999999999E-2</v>
      </c>
      <c r="H126" s="22">
        <f t="shared" si="130"/>
        <v>10899070</v>
      </c>
      <c r="I126" s="32">
        <v>0.02</v>
      </c>
      <c r="J126" s="22">
        <f t="shared" ref="J126:J127" si="135">+(F126*I126)+F126</f>
        <v>10952760</v>
      </c>
      <c r="K126" s="63">
        <v>15</v>
      </c>
      <c r="L126" s="22">
        <v>157848600</v>
      </c>
      <c r="M126" s="63">
        <v>12</v>
      </c>
      <c r="N126" s="22">
        <v>125634600</v>
      </c>
      <c r="O126" s="22">
        <f t="shared" si="122"/>
        <v>283483200</v>
      </c>
      <c r="P126" s="22">
        <f t="shared" si="123"/>
        <v>149619526.06635073</v>
      </c>
      <c r="Q126" s="61">
        <f t="shared" si="124"/>
        <v>156472100.36018959</v>
      </c>
      <c r="R126" s="61">
        <f t="shared" si="125"/>
        <v>1376499.6398104131</v>
      </c>
      <c r="S126" s="61">
        <f t="shared" si="126"/>
        <v>119084928.90995261</v>
      </c>
      <c r="T126" s="61">
        <f t="shared" si="127"/>
        <v>124539018.65402845</v>
      </c>
      <c r="U126" s="61">
        <f t="shared" si="128"/>
        <v>1095581.3459715545</v>
      </c>
      <c r="V126" s="61">
        <f t="shared" si="129"/>
        <v>2472080.9857819676</v>
      </c>
      <c r="X126" s="107"/>
      <c r="Y126" s="107"/>
      <c r="Z126" s="108"/>
      <c r="AA126" s="108"/>
    </row>
    <row r="127" spans="2:27" x14ac:dyDescent="0.2">
      <c r="B127" s="30" t="s">
        <v>358</v>
      </c>
      <c r="C127" s="6">
        <v>54</v>
      </c>
      <c r="D127" s="22">
        <v>21316000</v>
      </c>
      <c r="E127" s="32">
        <v>5.5E-2</v>
      </c>
      <c r="F127" s="22">
        <f t="shared" si="120"/>
        <v>22488000</v>
      </c>
      <c r="G127" s="32">
        <v>1.4999999999999999E-2</v>
      </c>
      <c r="H127" s="22">
        <f t="shared" si="130"/>
        <v>22825320</v>
      </c>
      <c r="I127" s="32">
        <v>0.02</v>
      </c>
      <c r="J127" s="22">
        <f t="shared" si="135"/>
        <v>22937760</v>
      </c>
      <c r="K127" s="63">
        <v>73</v>
      </c>
      <c r="L127" s="22">
        <v>1459471200</v>
      </c>
      <c r="M127" s="63">
        <v>73</v>
      </c>
      <c r="N127" s="22">
        <v>1454973600</v>
      </c>
      <c r="O127" s="22">
        <f t="shared" si="122"/>
        <v>2914444800</v>
      </c>
      <c r="P127" s="22">
        <f t="shared" si="123"/>
        <v>1383385023.6966825</v>
      </c>
      <c r="Q127" s="61">
        <f t="shared" si="124"/>
        <v>1446744057.7819905</v>
      </c>
      <c r="R127" s="61">
        <f t="shared" si="125"/>
        <v>12727142.218009472</v>
      </c>
      <c r="S127" s="61">
        <f t="shared" si="126"/>
        <v>1379121895.7345972</v>
      </c>
      <c r="T127" s="61">
        <f t="shared" si="127"/>
        <v>1442285678.5592418</v>
      </c>
      <c r="U127" s="61">
        <f t="shared" si="128"/>
        <v>12687921.440758228</v>
      </c>
      <c r="V127" s="61">
        <f t="shared" si="129"/>
        <v>25415063.6587677</v>
      </c>
      <c r="X127" s="107"/>
      <c r="Y127" s="107"/>
      <c r="Z127" s="108"/>
      <c r="AA127" s="108"/>
    </row>
    <row r="128" spans="2:27" x14ac:dyDescent="0.2">
      <c r="B128" s="30" t="s">
        <v>87</v>
      </c>
      <c r="C128" s="6">
        <v>55</v>
      </c>
      <c r="D128" s="22">
        <v>12973000</v>
      </c>
      <c r="E128" s="32">
        <v>5.5E-2</v>
      </c>
      <c r="F128" s="22">
        <f t="shared" si="120"/>
        <v>13687000</v>
      </c>
      <c r="G128" s="32">
        <v>1.4999999999999999E-2</v>
      </c>
      <c r="H128" s="22">
        <f t="shared" si="130"/>
        <v>13892305</v>
      </c>
      <c r="I128" s="32">
        <v>0.02</v>
      </c>
      <c r="J128" s="22">
        <f>+(F128*I128)+F128</f>
        <v>13960740</v>
      </c>
      <c r="K128" s="63">
        <v>29</v>
      </c>
      <c r="L128" s="22">
        <v>370923000</v>
      </c>
      <c r="M128" s="63">
        <v>29</v>
      </c>
      <c r="N128" s="22">
        <v>370923000</v>
      </c>
      <c r="O128" s="22">
        <f t="shared" si="122"/>
        <v>741846000</v>
      </c>
      <c r="P128" s="22">
        <f t="shared" si="123"/>
        <v>351585781.99052137</v>
      </c>
      <c r="Q128" s="61">
        <f t="shared" si="124"/>
        <v>367688410.80568725</v>
      </c>
      <c r="R128" s="61">
        <f t="shared" si="125"/>
        <v>3234589.1943127513</v>
      </c>
      <c r="S128" s="61">
        <f t="shared" si="126"/>
        <v>351585781.99052137</v>
      </c>
      <c r="T128" s="61">
        <f t="shared" si="127"/>
        <v>367688410.80568725</v>
      </c>
      <c r="U128" s="61">
        <f t="shared" si="128"/>
        <v>3234589.1943127513</v>
      </c>
      <c r="V128" s="61">
        <f t="shared" si="129"/>
        <v>6469178.3886255026</v>
      </c>
      <c r="X128" s="107"/>
      <c r="Y128" s="107"/>
      <c r="Z128" s="108"/>
      <c r="AA128" s="108"/>
    </row>
    <row r="129" spans="2:27" x14ac:dyDescent="0.2">
      <c r="B129" s="30" t="s">
        <v>506</v>
      </c>
      <c r="C129" s="6">
        <v>54</v>
      </c>
      <c r="D129" s="22">
        <v>41344000</v>
      </c>
      <c r="E129" s="32">
        <v>0</v>
      </c>
      <c r="F129" s="22">
        <f t="shared" si="120"/>
        <v>41344000</v>
      </c>
      <c r="G129" s="32">
        <v>0.01</v>
      </c>
      <c r="H129" s="22">
        <f t="shared" si="130"/>
        <v>41757440</v>
      </c>
      <c r="I129" s="32"/>
      <c r="J129" s="22"/>
      <c r="K129" s="63">
        <v>14</v>
      </c>
      <c r="L129" s="22">
        <v>578816000</v>
      </c>
      <c r="M129" s="63">
        <v>0</v>
      </c>
      <c r="N129" s="22">
        <v>0</v>
      </c>
      <c r="O129" s="22">
        <f t="shared" si="122"/>
        <v>578816000</v>
      </c>
      <c r="P129" s="22">
        <f t="shared" si="123"/>
        <v>578816000</v>
      </c>
      <c r="Q129" s="61">
        <f t="shared" si="124"/>
        <v>605325772.79999995</v>
      </c>
      <c r="R129" s="61">
        <f t="shared" si="125"/>
        <v>-26509772.799999952</v>
      </c>
      <c r="S129" s="61">
        <f t="shared" si="126"/>
        <v>0</v>
      </c>
      <c r="T129" s="61">
        <f t="shared" si="127"/>
        <v>0</v>
      </c>
      <c r="U129" s="61">
        <f t="shared" si="128"/>
        <v>0</v>
      </c>
      <c r="V129" s="61">
        <f t="shared" si="129"/>
        <v>-26509772.799999952</v>
      </c>
      <c r="X129" s="107"/>
      <c r="Y129" s="107"/>
      <c r="Z129" s="108"/>
      <c r="AA129" s="108"/>
    </row>
    <row r="130" spans="2:27" x14ac:dyDescent="0.2">
      <c r="B130" s="30" t="s">
        <v>359</v>
      </c>
      <c r="C130" s="6">
        <v>54</v>
      </c>
      <c r="D130" s="22">
        <v>41344000</v>
      </c>
      <c r="E130" s="32">
        <v>5.5E-2</v>
      </c>
      <c r="F130" s="22">
        <f t="shared" si="120"/>
        <v>43618000</v>
      </c>
      <c r="G130" s="32">
        <v>0.01</v>
      </c>
      <c r="H130" s="22">
        <f t="shared" si="130"/>
        <v>44054180</v>
      </c>
      <c r="I130" s="32"/>
      <c r="J130" s="22"/>
      <c r="K130" s="63">
        <v>14</v>
      </c>
      <c r="L130" s="22">
        <v>527343000</v>
      </c>
      <c r="M130" s="63">
        <v>14</v>
      </c>
      <c r="N130" s="22">
        <v>527343000</v>
      </c>
      <c r="O130" s="22">
        <f t="shared" si="122"/>
        <v>1054686000</v>
      </c>
      <c r="P130" s="22">
        <f t="shared" si="123"/>
        <v>499851184.83412325</v>
      </c>
      <c r="Q130" s="61">
        <f t="shared" si="124"/>
        <v>522744369.09952611</v>
      </c>
      <c r="R130" s="61">
        <f t="shared" si="125"/>
        <v>4598630.9004738927</v>
      </c>
      <c r="S130" s="61">
        <f t="shared" si="126"/>
        <v>499851184.83412325</v>
      </c>
      <c r="T130" s="61">
        <f t="shared" si="127"/>
        <v>522744369.09952611</v>
      </c>
      <c r="U130" s="61">
        <f t="shared" si="128"/>
        <v>4598630.9004738927</v>
      </c>
      <c r="V130" s="61">
        <f t="shared" si="129"/>
        <v>9197261.8009477854</v>
      </c>
      <c r="X130" s="107"/>
      <c r="Y130" s="107"/>
      <c r="Z130" s="108"/>
      <c r="AA130" s="108"/>
    </row>
    <row r="131" spans="2:27" x14ac:dyDescent="0.2">
      <c r="B131" s="30" t="s">
        <v>385</v>
      </c>
      <c r="C131" s="6">
        <v>42</v>
      </c>
      <c r="D131" s="22">
        <v>17000000</v>
      </c>
      <c r="E131" s="32">
        <v>5.5E-2</v>
      </c>
      <c r="F131" s="22">
        <f t="shared" ref="F131" si="136">+ROUND((D131*E131)+D131,-3)</f>
        <v>17935000</v>
      </c>
      <c r="G131" s="32">
        <v>1.4999999999999999E-2</v>
      </c>
      <c r="H131" s="22">
        <f t="shared" ref="H131" si="137">+(F131*G131)+F131</f>
        <v>18204025</v>
      </c>
      <c r="I131" s="32">
        <v>0.02</v>
      </c>
      <c r="J131" s="22">
        <f>+(F131*I131)+F131</f>
        <v>18293700</v>
      </c>
      <c r="K131" s="63">
        <v>32</v>
      </c>
      <c r="L131" s="22">
        <v>513689000</v>
      </c>
      <c r="M131" s="63">
        <v>32</v>
      </c>
      <c r="N131" s="22">
        <v>513630500</v>
      </c>
      <c r="O131" s="22">
        <f t="shared" si="122"/>
        <v>1027319500</v>
      </c>
      <c r="P131" s="22">
        <f t="shared" si="123"/>
        <v>486909004.73933655</v>
      </c>
      <c r="Q131" s="61">
        <f t="shared" si="124"/>
        <v>509209437.15639818</v>
      </c>
      <c r="R131" s="61">
        <f t="shared" si="125"/>
        <v>4479562.8436018229</v>
      </c>
      <c r="S131" s="61">
        <f t="shared" si="126"/>
        <v>486853554.5023697</v>
      </c>
      <c r="T131" s="61">
        <f t="shared" si="127"/>
        <v>509151447.29857826</v>
      </c>
      <c r="U131" s="61">
        <f t="shared" si="128"/>
        <v>4479052.7014217377</v>
      </c>
      <c r="V131" s="61">
        <f t="shared" si="129"/>
        <v>8958615.5450235605</v>
      </c>
      <c r="X131" s="107"/>
      <c r="Y131" s="107"/>
      <c r="Z131" s="108"/>
      <c r="AA131" s="108"/>
    </row>
    <row r="132" spans="2:27" x14ac:dyDescent="0.2">
      <c r="B132" s="30" t="s">
        <v>386</v>
      </c>
      <c r="C132" s="6">
        <v>46</v>
      </c>
      <c r="D132" s="22">
        <v>13134000</v>
      </c>
      <c r="E132" s="32">
        <v>5.5E-2</v>
      </c>
      <c r="F132" s="22">
        <f t="shared" si="120"/>
        <v>13856000</v>
      </c>
      <c r="G132" s="32">
        <v>1.4999999999999999E-2</v>
      </c>
      <c r="H132" s="22">
        <f t="shared" si="130"/>
        <v>14063840</v>
      </c>
      <c r="I132" s="32">
        <v>0.02</v>
      </c>
      <c r="J132" s="22">
        <f>+(F132*I132)+F132</f>
        <v>14133120</v>
      </c>
      <c r="K132" s="63">
        <v>31</v>
      </c>
      <c r="L132" s="22">
        <v>391680000</v>
      </c>
      <c r="M132" s="63">
        <v>30</v>
      </c>
      <c r="N132" s="22">
        <v>391432000</v>
      </c>
      <c r="O132" s="22">
        <f t="shared" si="122"/>
        <v>783112000</v>
      </c>
      <c r="P132" s="22">
        <f t="shared" si="123"/>
        <v>371260663.50710905</v>
      </c>
      <c r="Q132" s="61">
        <f t="shared" si="124"/>
        <v>388264401.89573467</v>
      </c>
      <c r="R132" s="61">
        <f t="shared" si="125"/>
        <v>3415598.1042653322</v>
      </c>
      <c r="S132" s="61">
        <f t="shared" si="126"/>
        <v>371025592.41706163</v>
      </c>
      <c r="T132" s="61">
        <f t="shared" si="127"/>
        <v>388018564.54976302</v>
      </c>
      <c r="U132" s="61">
        <f t="shared" si="128"/>
        <v>3413435.4502369761</v>
      </c>
      <c r="V132" s="61">
        <f t="shared" si="129"/>
        <v>6829033.5545023084</v>
      </c>
      <c r="X132" s="107"/>
      <c r="Y132" s="107"/>
      <c r="Z132" s="108"/>
      <c r="AA132" s="108"/>
    </row>
    <row r="133" spans="2:27" x14ac:dyDescent="0.2">
      <c r="B133" s="30" t="s">
        <v>387</v>
      </c>
      <c r="C133" s="6">
        <v>42</v>
      </c>
      <c r="D133" s="22">
        <v>17000000</v>
      </c>
      <c r="E133" s="32">
        <v>5.5E-2</v>
      </c>
      <c r="F133" s="22">
        <f t="shared" si="120"/>
        <v>17935000</v>
      </c>
      <c r="G133" s="32">
        <v>1.4999999999999999E-2</v>
      </c>
      <c r="H133" s="22">
        <f t="shared" si="130"/>
        <v>18204025</v>
      </c>
      <c r="I133" s="32">
        <v>0.02</v>
      </c>
      <c r="J133" s="22">
        <f>+(F133*I133)+F133</f>
        <v>18293700</v>
      </c>
      <c r="K133" s="63">
        <v>41</v>
      </c>
      <c r="L133" s="22">
        <v>662868250</v>
      </c>
      <c r="M133" s="63">
        <v>45</v>
      </c>
      <c r="N133" s="22">
        <v>731021250</v>
      </c>
      <c r="O133" s="22">
        <f t="shared" si="122"/>
        <v>1393889500</v>
      </c>
      <c r="P133" s="22">
        <f t="shared" si="123"/>
        <v>628311137.44075835</v>
      </c>
      <c r="Q133" s="61">
        <f t="shared" si="124"/>
        <v>657087787.53554511</v>
      </c>
      <c r="R133" s="61">
        <f t="shared" si="125"/>
        <v>5780462.4644548893</v>
      </c>
      <c r="S133" s="61">
        <f t="shared" si="126"/>
        <v>692911137.44075835</v>
      </c>
      <c r="T133" s="61">
        <f t="shared" si="127"/>
        <v>724646467.53554511</v>
      </c>
      <c r="U133" s="61">
        <f t="shared" si="128"/>
        <v>6374782.4644548893</v>
      </c>
      <c r="V133" s="61">
        <f t="shared" si="129"/>
        <v>12155244.928909779</v>
      </c>
      <c r="X133" s="107"/>
      <c r="Y133" s="107"/>
      <c r="Z133" s="108"/>
      <c r="AA133" s="108"/>
    </row>
    <row r="134" spans="2:27" x14ac:dyDescent="0.2">
      <c r="B134" s="30" t="s">
        <v>181</v>
      </c>
      <c r="C134" s="6">
        <v>57</v>
      </c>
      <c r="D134" s="22">
        <v>12903000</v>
      </c>
      <c r="E134" s="32">
        <v>5.5E-2</v>
      </c>
      <c r="F134" s="22">
        <f t="shared" si="120"/>
        <v>13613000</v>
      </c>
      <c r="G134" s="32">
        <v>1.4999999999999999E-2</v>
      </c>
      <c r="H134" s="22">
        <f t="shared" si="130"/>
        <v>13817195</v>
      </c>
      <c r="I134" s="32">
        <v>0.02</v>
      </c>
      <c r="J134" s="22">
        <f>+(F134*I134)+F134</f>
        <v>13885260</v>
      </c>
      <c r="K134" s="63">
        <v>25</v>
      </c>
      <c r="L134" s="22">
        <v>294043600</v>
      </c>
      <c r="M134" s="63">
        <v>25</v>
      </c>
      <c r="N134" s="22">
        <v>302208600</v>
      </c>
      <c r="O134" s="22">
        <f t="shared" si="122"/>
        <v>596252200</v>
      </c>
      <c r="P134" s="22">
        <f t="shared" si="123"/>
        <v>278714312.79620856</v>
      </c>
      <c r="Q134" s="61">
        <f t="shared" si="124"/>
        <v>291479428.32227492</v>
      </c>
      <c r="R134" s="61">
        <f t="shared" si="125"/>
        <v>2564171.6777250767</v>
      </c>
      <c r="S134" s="61">
        <f t="shared" si="126"/>
        <v>286453649.28909951</v>
      </c>
      <c r="T134" s="61">
        <f t="shared" si="127"/>
        <v>299573226.42654026</v>
      </c>
      <c r="U134" s="61">
        <f t="shared" si="128"/>
        <v>2635373.5734597445</v>
      </c>
      <c r="V134" s="61">
        <f t="shared" si="129"/>
        <v>5199545.2511848211</v>
      </c>
      <c r="X134" s="107"/>
      <c r="Y134" s="107"/>
      <c r="Z134" s="108"/>
      <c r="AA134" s="108"/>
    </row>
    <row r="135" spans="2:27" x14ac:dyDescent="0.2">
      <c r="B135" s="30" t="s">
        <v>182</v>
      </c>
      <c r="C135" s="6">
        <v>49</v>
      </c>
      <c r="D135" s="22">
        <v>12848000</v>
      </c>
      <c r="E135" s="32">
        <v>5.5E-2</v>
      </c>
      <c r="F135" s="22">
        <f t="shared" si="120"/>
        <v>13555000</v>
      </c>
      <c r="G135" s="32">
        <v>1.4999999999999999E-2</v>
      </c>
      <c r="H135" s="22">
        <f t="shared" si="130"/>
        <v>13758325</v>
      </c>
      <c r="I135" s="32">
        <v>0.02</v>
      </c>
      <c r="J135" s="22">
        <f>+(F135*I135)+F135</f>
        <v>13826100</v>
      </c>
      <c r="K135" s="63">
        <v>0</v>
      </c>
      <c r="L135" s="22">
        <v>0</v>
      </c>
      <c r="M135" s="63">
        <v>0</v>
      </c>
      <c r="N135" s="22">
        <v>0</v>
      </c>
      <c r="O135" s="22">
        <f t="shared" si="122"/>
        <v>0</v>
      </c>
      <c r="P135" s="22">
        <f t="shared" si="123"/>
        <v>0</v>
      </c>
      <c r="Q135" s="61">
        <f t="shared" si="124"/>
        <v>0</v>
      </c>
      <c r="R135" s="61">
        <f t="shared" si="125"/>
        <v>0</v>
      </c>
      <c r="S135" s="61">
        <f t="shared" si="126"/>
        <v>0</v>
      </c>
      <c r="T135" s="61">
        <f t="shared" si="127"/>
        <v>0</v>
      </c>
      <c r="U135" s="61">
        <f t="shared" si="128"/>
        <v>0</v>
      </c>
      <c r="V135" s="61">
        <f t="shared" si="129"/>
        <v>0</v>
      </c>
      <c r="X135" s="107"/>
      <c r="Y135" s="107"/>
      <c r="Z135" s="108"/>
      <c r="AA135" s="108"/>
    </row>
    <row r="136" spans="2:27" x14ac:dyDescent="0.2">
      <c r="B136" s="33" t="s">
        <v>223</v>
      </c>
      <c r="C136" s="6"/>
      <c r="D136" s="31"/>
      <c r="E136" s="32"/>
      <c r="F136" s="31"/>
      <c r="G136" s="6"/>
      <c r="H136" s="61"/>
      <c r="I136" s="6"/>
      <c r="J136" s="61"/>
      <c r="K136" s="34"/>
      <c r="L136" s="223"/>
      <c r="M136" s="63"/>
      <c r="N136" s="223"/>
      <c r="O136" s="22"/>
      <c r="P136" s="61"/>
      <c r="Q136" s="61"/>
      <c r="R136" s="61"/>
      <c r="S136" s="61"/>
      <c r="T136" s="61"/>
      <c r="U136" s="61"/>
      <c r="V136" s="62"/>
      <c r="X136" s="107"/>
      <c r="Y136" s="107"/>
      <c r="Z136" s="108"/>
      <c r="AA136" s="108"/>
    </row>
    <row r="137" spans="2:27" x14ac:dyDescent="0.2">
      <c r="B137" s="30" t="s">
        <v>97</v>
      </c>
      <c r="C137" s="6">
        <v>108</v>
      </c>
      <c r="D137" s="22">
        <v>15892000</v>
      </c>
      <c r="E137" s="32">
        <v>5.5E-2</v>
      </c>
      <c r="F137" s="22">
        <f t="shared" ref="F137:F141" si="138">+ROUND((D137*E137)+D137,-3)</f>
        <v>16766000</v>
      </c>
      <c r="G137" s="32">
        <v>1.4999999999999999E-2</v>
      </c>
      <c r="H137" s="22">
        <f t="shared" ref="H137:H141" si="139">+(F137*G137)+F137</f>
        <v>17017490</v>
      </c>
      <c r="I137" s="32">
        <v>0.02</v>
      </c>
      <c r="J137" s="22">
        <f>+(F137*I137)+F137</f>
        <v>17101320</v>
      </c>
      <c r="K137" s="63">
        <v>30</v>
      </c>
      <c r="L137" s="22">
        <v>104284520</v>
      </c>
      <c r="M137" s="63">
        <v>30</v>
      </c>
      <c r="N137" s="22">
        <v>104284520</v>
      </c>
      <c r="O137" s="22">
        <f>L137+N137</f>
        <v>208569040</v>
      </c>
      <c r="P137" s="22">
        <f>L137/(1+E137)</f>
        <v>98847886.25592418</v>
      </c>
      <c r="Q137" s="61">
        <f>(P137*$Q$8)+P137</f>
        <v>103375119.44644551</v>
      </c>
      <c r="R137" s="61">
        <f>L137-Q137</f>
        <v>909400.55355449021</v>
      </c>
      <c r="S137" s="61">
        <f>N137/(1+E137)</f>
        <v>98847886.25592418</v>
      </c>
      <c r="T137" s="61">
        <f t="shared" ref="T137:T141" si="140">(S137*$T$8)+S137</f>
        <v>103375119.44644551</v>
      </c>
      <c r="U137" s="61">
        <f>N137-T137</f>
        <v>909400.55355449021</v>
      </c>
      <c r="V137" s="61">
        <f t="shared" ref="V137:V141" si="141">R137+U137</f>
        <v>1818801.1071089804</v>
      </c>
      <c r="X137" s="107"/>
      <c r="Y137" s="107"/>
      <c r="Z137" s="108"/>
      <c r="AA137" s="108"/>
    </row>
    <row r="138" spans="2:27" x14ac:dyDescent="0.2">
      <c r="B138" s="30" t="s">
        <v>388</v>
      </c>
      <c r="C138" s="6">
        <v>24</v>
      </c>
      <c r="D138" s="22">
        <v>4500000</v>
      </c>
      <c r="E138" s="32">
        <v>5.5E-2</v>
      </c>
      <c r="F138" s="22">
        <f t="shared" si="138"/>
        <v>4748000</v>
      </c>
      <c r="G138" s="32">
        <v>1.4999999999999999E-2</v>
      </c>
      <c r="H138" s="22">
        <f t="shared" si="139"/>
        <v>4819220</v>
      </c>
      <c r="I138" s="32"/>
      <c r="J138" s="22"/>
      <c r="K138" s="63">
        <v>34</v>
      </c>
      <c r="L138" s="22">
        <v>157633600</v>
      </c>
      <c r="M138" s="63">
        <v>35</v>
      </c>
      <c r="N138" s="22">
        <v>162381600</v>
      </c>
      <c r="O138" s="22">
        <f>L138+N138</f>
        <v>320015200</v>
      </c>
      <c r="P138" s="22">
        <f>L138/(1+E138)</f>
        <v>149415734.59715641</v>
      </c>
      <c r="Q138" s="61">
        <f>(P138*$Q$8)+P138</f>
        <v>156258975.24170616</v>
      </c>
      <c r="R138" s="61">
        <f>L138-Q138</f>
        <v>1374624.7582938373</v>
      </c>
      <c r="S138" s="61">
        <f>N138/(1+E138)</f>
        <v>153916208.53080571</v>
      </c>
      <c r="T138" s="61">
        <f t="shared" si="140"/>
        <v>160965570.88151661</v>
      </c>
      <c r="U138" s="61">
        <f>N138-T138</f>
        <v>1416029.1184833944</v>
      </c>
      <c r="V138" s="61">
        <f t="shared" si="141"/>
        <v>2790653.8767772317</v>
      </c>
      <c r="X138" s="107"/>
      <c r="Y138" s="107"/>
      <c r="Z138" s="108"/>
      <c r="AA138" s="108"/>
    </row>
    <row r="139" spans="2:27" x14ac:dyDescent="0.2">
      <c r="B139" s="30" t="s">
        <v>98</v>
      </c>
      <c r="C139" s="6">
        <v>50</v>
      </c>
      <c r="D139" s="22">
        <v>10373000</v>
      </c>
      <c r="E139" s="32">
        <v>5.5E-2</v>
      </c>
      <c r="F139" s="22">
        <f t="shared" si="138"/>
        <v>10944000</v>
      </c>
      <c r="G139" s="32">
        <v>1.4999999999999999E-2</v>
      </c>
      <c r="H139" s="22">
        <f t="shared" si="139"/>
        <v>11108160</v>
      </c>
      <c r="I139" s="32">
        <v>0.02</v>
      </c>
      <c r="J139" s="22">
        <f t="shared" ref="J139:J140" si="142">+(F139*I139)+F139</f>
        <v>11162880</v>
      </c>
      <c r="K139" s="63">
        <v>40</v>
      </c>
      <c r="L139" s="22">
        <v>401644800</v>
      </c>
      <c r="M139" s="63">
        <v>40</v>
      </c>
      <c r="N139" s="22">
        <v>390700800</v>
      </c>
      <c r="O139" s="22">
        <f>L139+N139</f>
        <v>792345600</v>
      </c>
      <c r="P139" s="22">
        <f>L139/(1+E139)</f>
        <v>380705971.56398106</v>
      </c>
      <c r="Q139" s="61">
        <f>(P139*$Q$8)+P139</f>
        <v>398142305.06161141</v>
      </c>
      <c r="R139" s="61">
        <f>L139-Q139</f>
        <v>3502494.938388586</v>
      </c>
      <c r="S139" s="61">
        <f>N139/(1+E139)</f>
        <v>370332511.84834123</v>
      </c>
      <c r="T139" s="61">
        <f t="shared" si="140"/>
        <v>387293740.89099526</v>
      </c>
      <c r="U139" s="61">
        <f>N139-T139</f>
        <v>3407059.1090047359</v>
      </c>
      <c r="V139" s="61">
        <f t="shared" si="141"/>
        <v>6909554.047393322</v>
      </c>
      <c r="X139" s="107"/>
      <c r="Y139" s="107"/>
      <c r="Z139" s="108"/>
      <c r="AA139" s="108"/>
    </row>
    <row r="140" spans="2:27" x14ac:dyDescent="0.2">
      <c r="B140" s="30" t="s">
        <v>96</v>
      </c>
      <c r="C140" s="6">
        <v>47</v>
      </c>
      <c r="D140" s="22">
        <v>10373000</v>
      </c>
      <c r="E140" s="32">
        <v>5.5E-2</v>
      </c>
      <c r="F140" s="22">
        <f t="shared" si="138"/>
        <v>10944000</v>
      </c>
      <c r="G140" s="32">
        <v>1.4999999999999999E-2</v>
      </c>
      <c r="H140" s="22">
        <f t="shared" si="139"/>
        <v>11108160</v>
      </c>
      <c r="I140" s="32">
        <v>0.02</v>
      </c>
      <c r="J140" s="22">
        <f t="shared" si="142"/>
        <v>11162880</v>
      </c>
      <c r="K140" s="63">
        <v>49</v>
      </c>
      <c r="L140" s="22">
        <v>493574400</v>
      </c>
      <c r="M140" s="63">
        <v>51</v>
      </c>
      <c r="N140" s="22">
        <v>500140800</v>
      </c>
      <c r="O140" s="22">
        <f>L140+N140</f>
        <v>993715200</v>
      </c>
      <c r="P140" s="22">
        <f>L140/(1+E140)</f>
        <v>467843033.17535549</v>
      </c>
      <c r="Q140" s="61">
        <f>(P140*$Q$8)+P140</f>
        <v>489270244.09478676</v>
      </c>
      <c r="R140" s="61">
        <f>L140-Q140</f>
        <v>4304155.9052132368</v>
      </c>
      <c r="S140" s="61">
        <f>N140/(1+E140)</f>
        <v>474067109.00473934</v>
      </c>
      <c r="T140" s="61">
        <f t="shared" si="140"/>
        <v>495779382.59715641</v>
      </c>
      <c r="U140" s="61">
        <f>N140-T140</f>
        <v>4361417.4028435946</v>
      </c>
      <c r="V140" s="61">
        <f t="shared" si="141"/>
        <v>8665573.3080568314</v>
      </c>
      <c r="X140" s="107"/>
      <c r="Y140" s="107"/>
      <c r="Z140" s="108"/>
      <c r="AA140" s="108"/>
    </row>
    <row r="141" spans="2:27" x14ac:dyDescent="0.2">
      <c r="B141" s="30" t="s">
        <v>574</v>
      </c>
      <c r="C141" s="6">
        <v>48</v>
      </c>
      <c r="D141" s="22">
        <v>10757000</v>
      </c>
      <c r="E141" s="32">
        <v>5.5E-2</v>
      </c>
      <c r="F141" s="22">
        <f t="shared" si="138"/>
        <v>11349000</v>
      </c>
      <c r="G141" s="32">
        <v>1.4999999999999999E-2</v>
      </c>
      <c r="H141" s="22">
        <f t="shared" si="139"/>
        <v>11519235</v>
      </c>
      <c r="I141" s="32">
        <v>0.02</v>
      </c>
      <c r="J141" s="22">
        <f>+(F141*I141)+F141</f>
        <v>11575980</v>
      </c>
      <c r="K141" s="63">
        <v>49</v>
      </c>
      <c r="L141" s="22">
        <v>500490900</v>
      </c>
      <c r="M141" s="63">
        <v>49</v>
      </c>
      <c r="N141" s="22">
        <v>500490900</v>
      </c>
      <c r="O141" s="22">
        <f>L141+N141</f>
        <v>1000981800</v>
      </c>
      <c r="P141" s="22">
        <f>L141/(1+E141)</f>
        <v>474398957.34597158</v>
      </c>
      <c r="Q141" s="61">
        <f>(P141*$Q$8)+P141</f>
        <v>496126429.59241706</v>
      </c>
      <c r="R141" s="61">
        <f>L141-Q141</f>
        <v>4364470.4075829387</v>
      </c>
      <c r="S141" s="61">
        <f>N141/(1+E141)</f>
        <v>474398957.34597158</v>
      </c>
      <c r="T141" s="61">
        <f t="shared" si="140"/>
        <v>496126429.59241706</v>
      </c>
      <c r="U141" s="61">
        <f>N141-T141</f>
        <v>4364470.4075829387</v>
      </c>
      <c r="V141" s="61">
        <f t="shared" si="141"/>
        <v>8728940.8151658773</v>
      </c>
      <c r="X141" s="107"/>
      <c r="Y141" s="107"/>
      <c r="Z141" s="108"/>
      <c r="AA141" s="108"/>
    </row>
    <row r="142" spans="2:27" x14ac:dyDescent="0.2">
      <c r="B142" s="33" t="s">
        <v>213</v>
      </c>
      <c r="C142" s="6"/>
      <c r="D142" s="31"/>
      <c r="E142" s="32"/>
      <c r="F142" s="31"/>
      <c r="G142" s="6"/>
      <c r="H142" s="61"/>
      <c r="I142" s="6"/>
      <c r="J142" s="61"/>
      <c r="K142" s="34"/>
      <c r="L142" s="223"/>
      <c r="M142" s="63"/>
      <c r="N142" s="223"/>
      <c r="O142" s="22"/>
      <c r="P142" s="61"/>
      <c r="Q142" s="61"/>
      <c r="R142" s="61"/>
      <c r="S142" s="61"/>
      <c r="T142" s="61"/>
      <c r="U142" s="61"/>
      <c r="V142" s="62"/>
      <c r="X142" s="107"/>
      <c r="Y142" s="107"/>
      <c r="Z142" s="108"/>
      <c r="AA142" s="108"/>
    </row>
    <row r="143" spans="2:27" x14ac:dyDescent="0.2">
      <c r="B143" s="30" t="s">
        <v>360</v>
      </c>
      <c r="C143" s="6">
        <v>94</v>
      </c>
      <c r="D143" s="22">
        <v>15425000</v>
      </c>
      <c r="E143" s="32">
        <v>0</v>
      </c>
      <c r="F143" s="22">
        <f t="shared" ref="F143:F151" si="143">+ROUND((D143*E143)+D143,-3)</f>
        <v>15425000</v>
      </c>
      <c r="G143" s="32">
        <v>1.4999999999999999E-2</v>
      </c>
      <c r="H143" s="22">
        <f t="shared" ref="H143:H151" si="144">+(F143*G143)+F143</f>
        <v>15656375</v>
      </c>
      <c r="I143" s="32">
        <v>0.02</v>
      </c>
      <c r="J143" s="22">
        <f t="shared" ref="J143:J151" si="145">+(F143*I143)+F143</f>
        <v>15733500</v>
      </c>
      <c r="K143" s="63">
        <v>16</v>
      </c>
      <c r="L143" s="22">
        <v>129631700</v>
      </c>
      <c r="M143" s="63">
        <v>22</v>
      </c>
      <c r="N143" s="22">
        <v>180534200</v>
      </c>
      <c r="O143" s="22">
        <f t="shared" ref="O143:O151" si="146">L143+N143</f>
        <v>310165900</v>
      </c>
      <c r="P143" s="22">
        <f t="shared" ref="P143:P151" si="147">L143/(1+E143)</f>
        <v>129631700</v>
      </c>
      <c r="Q143" s="61">
        <f t="shared" ref="Q143:Q151" si="148">(P143*$Q$8)+P143</f>
        <v>135568831.86000001</v>
      </c>
      <c r="R143" s="61">
        <f t="shared" ref="R143:R151" si="149">L143-Q143</f>
        <v>-5937131.8600000143</v>
      </c>
      <c r="S143" s="61">
        <f t="shared" ref="S143:S151" si="150">N143/(1+E143)</f>
        <v>180534200</v>
      </c>
      <c r="T143" s="61">
        <f t="shared" ref="T143:T151" si="151">(S143*$T$8)+S143</f>
        <v>188802666.36000001</v>
      </c>
      <c r="U143" s="61">
        <f t="shared" ref="U143:U151" si="152">N143-T143</f>
        <v>-8268466.3600000143</v>
      </c>
      <c r="V143" s="61">
        <f t="shared" ref="V143:V151" si="153">R143+U143</f>
        <v>-14205598.220000029</v>
      </c>
      <c r="X143" s="107"/>
      <c r="Y143" s="107"/>
      <c r="Z143" s="108"/>
      <c r="AA143" s="108"/>
    </row>
    <row r="144" spans="2:27" x14ac:dyDescent="0.2">
      <c r="B144" s="30" t="s">
        <v>99</v>
      </c>
      <c r="C144" s="6">
        <v>30</v>
      </c>
      <c r="D144" s="22">
        <v>13435000</v>
      </c>
      <c r="E144" s="32">
        <v>5.5E-2</v>
      </c>
      <c r="F144" s="22">
        <f t="shared" si="143"/>
        <v>14174000</v>
      </c>
      <c r="G144" s="32">
        <v>1.4999999999999999E-2</v>
      </c>
      <c r="H144" s="22">
        <f t="shared" si="144"/>
        <v>14386610</v>
      </c>
      <c r="I144" s="32">
        <v>0.02</v>
      </c>
      <c r="J144" s="22">
        <f t="shared" si="145"/>
        <v>14457480</v>
      </c>
      <c r="K144" s="63">
        <v>17</v>
      </c>
      <c r="L144" s="22">
        <v>214645200</v>
      </c>
      <c r="M144" s="63">
        <v>17</v>
      </c>
      <c r="N144" s="22">
        <v>215444800</v>
      </c>
      <c r="O144" s="22">
        <f t="shared" si="146"/>
        <v>430090000</v>
      </c>
      <c r="P144" s="22">
        <f t="shared" si="147"/>
        <v>203455165.87677726</v>
      </c>
      <c r="Q144" s="61">
        <f t="shared" si="148"/>
        <v>212773412.47393367</v>
      </c>
      <c r="R144" s="61">
        <f t="shared" si="149"/>
        <v>1871787.5260663331</v>
      </c>
      <c r="S144" s="61">
        <f t="shared" si="150"/>
        <v>204213080.5687204</v>
      </c>
      <c r="T144" s="61">
        <f t="shared" si="151"/>
        <v>213566039.65876779</v>
      </c>
      <c r="U144" s="61">
        <f t="shared" si="152"/>
        <v>1878760.3412322104</v>
      </c>
      <c r="V144" s="61">
        <f t="shared" si="153"/>
        <v>3750547.8672985435</v>
      </c>
      <c r="X144" s="107"/>
      <c r="Y144" s="107"/>
      <c r="Z144" s="108"/>
      <c r="AA144" s="108"/>
    </row>
    <row r="145" spans="2:27" x14ac:dyDescent="0.2">
      <c r="B145" s="30" t="s">
        <v>507</v>
      </c>
      <c r="C145" s="6">
        <v>26</v>
      </c>
      <c r="D145" s="22">
        <v>10000000</v>
      </c>
      <c r="E145" s="32">
        <v>5.5E-2</v>
      </c>
      <c r="F145" s="22">
        <f t="shared" si="143"/>
        <v>10550000</v>
      </c>
      <c r="G145" s="32">
        <v>1.4999999999999999E-2</v>
      </c>
      <c r="H145" s="22">
        <f t="shared" si="144"/>
        <v>10708250</v>
      </c>
      <c r="I145" s="32">
        <v>0.02</v>
      </c>
      <c r="J145" s="22">
        <f t="shared" si="145"/>
        <v>10761000</v>
      </c>
      <c r="K145" s="63">
        <v>11</v>
      </c>
      <c r="L145" s="22">
        <v>105455000</v>
      </c>
      <c r="M145" s="63">
        <v>11</v>
      </c>
      <c r="N145" s="22">
        <v>104445000</v>
      </c>
      <c r="O145" s="22">
        <f t="shared" si="146"/>
        <v>209900000</v>
      </c>
      <c r="P145" s="22">
        <f t="shared" si="147"/>
        <v>99957345.97156398</v>
      </c>
      <c r="Q145" s="61">
        <f t="shared" si="148"/>
        <v>104535392.41706161</v>
      </c>
      <c r="R145" s="61">
        <f t="shared" si="149"/>
        <v>919607.58293838799</v>
      </c>
      <c r="S145" s="61">
        <f t="shared" si="150"/>
        <v>99000000</v>
      </c>
      <c r="T145" s="61">
        <f t="shared" si="151"/>
        <v>103534200</v>
      </c>
      <c r="U145" s="61">
        <f t="shared" si="152"/>
        <v>910800</v>
      </c>
      <c r="V145" s="61">
        <f t="shared" si="153"/>
        <v>1830407.582938388</v>
      </c>
      <c r="X145" s="107"/>
      <c r="Y145" s="107"/>
      <c r="Z145" s="108"/>
      <c r="AA145" s="108"/>
    </row>
    <row r="146" spans="2:27" x14ac:dyDescent="0.2">
      <c r="B146" s="30" t="s">
        <v>183</v>
      </c>
      <c r="C146" s="6">
        <v>45</v>
      </c>
      <c r="D146" s="22">
        <v>7416000</v>
      </c>
      <c r="E146" s="32">
        <v>5.5E-2</v>
      </c>
      <c r="F146" s="22">
        <f t="shared" ref="F146" si="154">+ROUND((D146*E146)+D146,-3)</f>
        <v>7824000</v>
      </c>
      <c r="G146" s="32">
        <v>1.4999999999999999E-2</v>
      </c>
      <c r="H146" s="22">
        <f t="shared" si="144"/>
        <v>7941360</v>
      </c>
      <c r="I146" s="32">
        <v>0.02</v>
      </c>
      <c r="J146" s="22">
        <f t="shared" si="145"/>
        <v>7980480</v>
      </c>
      <c r="K146" s="63">
        <v>24</v>
      </c>
      <c r="L146" s="22">
        <v>158749117</v>
      </c>
      <c r="M146" s="63">
        <v>25</v>
      </c>
      <c r="N146" s="22">
        <v>166573117</v>
      </c>
      <c r="O146" s="22">
        <f t="shared" si="146"/>
        <v>325322234</v>
      </c>
      <c r="P146" s="22">
        <f t="shared" si="147"/>
        <v>150473096.68246445</v>
      </c>
      <c r="Q146" s="61">
        <f t="shared" si="148"/>
        <v>157364764.51052132</v>
      </c>
      <c r="R146" s="61">
        <f t="shared" si="149"/>
        <v>1384352.4894786775</v>
      </c>
      <c r="S146" s="61">
        <f t="shared" si="150"/>
        <v>157889210.42654029</v>
      </c>
      <c r="T146" s="61">
        <f t="shared" si="151"/>
        <v>165120536.26407582</v>
      </c>
      <c r="U146" s="61">
        <f t="shared" si="152"/>
        <v>1452580.7359241843</v>
      </c>
      <c r="V146" s="61">
        <f t="shared" si="153"/>
        <v>2836933.2254028618</v>
      </c>
      <c r="X146" s="107"/>
      <c r="Y146" s="107"/>
      <c r="Z146" s="108"/>
      <c r="AA146" s="108"/>
    </row>
    <row r="147" spans="2:27" x14ac:dyDescent="0.2">
      <c r="B147" s="30" t="s">
        <v>508</v>
      </c>
      <c r="C147" s="6">
        <v>45</v>
      </c>
      <c r="D147" s="22">
        <v>7416000</v>
      </c>
      <c r="E147" s="32">
        <v>5.5E-2</v>
      </c>
      <c r="F147" s="22">
        <f t="shared" si="143"/>
        <v>7824000</v>
      </c>
      <c r="G147" s="32">
        <v>1.4999999999999999E-2</v>
      </c>
      <c r="H147" s="22">
        <f t="shared" si="144"/>
        <v>7941360</v>
      </c>
      <c r="I147" s="32">
        <v>0.02</v>
      </c>
      <c r="J147" s="22">
        <f t="shared" si="145"/>
        <v>7980480</v>
      </c>
      <c r="K147" s="63">
        <v>0</v>
      </c>
      <c r="L147" s="22">
        <v>0</v>
      </c>
      <c r="M147" s="63">
        <v>0</v>
      </c>
      <c r="N147" s="22">
        <v>0</v>
      </c>
      <c r="O147" s="22">
        <f t="shared" si="146"/>
        <v>0</v>
      </c>
      <c r="P147" s="22">
        <f t="shared" si="147"/>
        <v>0</v>
      </c>
      <c r="Q147" s="61">
        <f t="shared" si="148"/>
        <v>0</v>
      </c>
      <c r="R147" s="61">
        <f t="shared" si="149"/>
        <v>0</v>
      </c>
      <c r="S147" s="61">
        <f t="shared" si="150"/>
        <v>0</v>
      </c>
      <c r="T147" s="61">
        <f t="shared" si="151"/>
        <v>0</v>
      </c>
      <c r="U147" s="61">
        <f t="shared" si="152"/>
        <v>0</v>
      </c>
      <c r="V147" s="61">
        <f t="shared" si="153"/>
        <v>0</v>
      </c>
      <c r="X147" s="107"/>
      <c r="Y147" s="107"/>
      <c r="Z147" s="108"/>
      <c r="AA147" s="108"/>
    </row>
    <row r="148" spans="2:27" x14ac:dyDescent="0.2">
      <c r="B148" s="30" t="s">
        <v>509</v>
      </c>
      <c r="C148" s="6">
        <v>42</v>
      </c>
      <c r="D148" s="22">
        <v>11255000</v>
      </c>
      <c r="E148" s="32">
        <v>5.5E-2</v>
      </c>
      <c r="F148" s="22">
        <f t="shared" ref="F148" si="155">+ROUND((D148*E148)+D148,-3)</f>
        <v>11874000</v>
      </c>
      <c r="G148" s="32">
        <v>1.4999999999999999E-2</v>
      </c>
      <c r="H148" s="22">
        <f t="shared" ref="H148" si="156">+(F148*G148)+F148</f>
        <v>12052110</v>
      </c>
      <c r="I148" s="32">
        <v>0.02</v>
      </c>
      <c r="J148" s="22">
        <f t="shared" ref="J148" si="157">+(F148*I148)+F148</f>
        <v>12111480</v>
      </c>
      <c r="K148" s="63">
        <v>0</v>
      </c>
      <c r="L148" s="22">
        <v>0</v>
      </c>
      <c r="M148" s="63">
        <v>0</v>
      </c>
      <c r="N148" s="22">
        <v>0</v>
      </c>
      <c r="O148" s="22">
        <f t="shared" si="146"/>
        <v>0</v>
      </c>
      <c r="P148" s="22">
        <f t="shared" si="147"/>
        <v>0</v>
      </c>
      <c r="Q148" s="61">
        <f t="shared" si="148"/>
        <v>0</v>
      </c>
      <c r="R148" s="61">
        <f t="shared" si="149"/>
        <v>0</v>
      </c>
      <c r="S148" s="61">
        <f t="shared" si="150"/>
        <v>0</v>
      </c>
      <c r="T148" s="61">
        <f t="shared" si="151"/>
        <v>0</v>
      </c>
      <c r="U148" s="61">
        <f t="shared" si="152"/>
        <v>0</v>
      </c>
      <c r="V148" s="61">
        <f t="shared" si="153"/>
        <v>0</v>
      </c>
      <c r="X148" s="107"/>
      <c r="Y148" s="107"/>
      <c r="Z148" s="108"/>
      <c r="AA148" s="108"/>
    </row>
    <row r="149" spans="2:27" x14ac:dyDescent="0.2">
      <c r="B149" s="30" t="s">
        <v>510</v>
      </c>
      <c r="C149" s="6">
        <v>42</v>
      </c>
      <c r="D149" s="22">
        <v>10300000</v>
      </c>
      <c r="E149" s="32">
        <v>5.5E-2</v>
      </c>
      <c r="F149" s="22">
        <f t="shared" si="143"/>
        <v>10867000</v>
      </c>
      <c r="G149" s="32">
        <v>1.4999999999999999E-2</v>
      </c>
      <c r="H149" s="22">
        <f t="shared" si="144"/>
        <v>11030005</v>
      </c>
      <c r="I149" s="32">
        <v>0.02</v>
      </c>
      <c r="J149" s="22">
        <f t="shared" si="145"/>
        <v>11084340</v>
      </c>
      <c r="K149" s="63">
        <v>6</v>
      </c>
      <c r="L149" s="22">
        <v>42644100</v>
      </c>
      <c r="M149" s="63">
        <v>17</v>
      </c>
      <c r="N149" s="22">
        <v>156747600</v>
      </c>
      <c r="O149" s="22">
        <f t="shared" si="146"/>
        <v>199391700</v>
      </c>
      <c r="P149" s="22">
        <f t="shared" si="147"/>
        <v>40420947.867298581</v>
      </c>
      <c r="Q149" s="61">
        <f t="shared" si="148"/>
        <v>42272227.279620856</v>
      </c>
      <c r="R149" s="61">
        <f t="shared" si="149"/>
        <v>371872.72037914395</v>
      </c>
      <c r="S149" s="61">
        <f t="shared" si="150"/>
        <v>148575924.17061612</v>
      </c>
      <c r="T149" s="61">
        <f t="shared" si="151"/>
        <v>155380701.49763033</v>
      </c>
      <c r="U149" s="61">
        <f t="shared" si="152"/>
        <v>1366898.5023696721</v>
      </c>
      <c r="V149" s="61">
        <f t="shared" si="153"/>
        <v>1738771.222748816</v>
      </c>
      <c r="X149" s="107"/>
      <c r="Y149" s="107"/>
      <c r="Z149" s="108"/>
      <c r="AA149" s="108"/>
    </row>
    <row r="150" spans="2:27" x14ac:dyDescent="0.2">
      <c r="B150" s="30" t="s">
        <v>100</v>
      </c>
      <c r="C150" s="6">
        <v>51</v>
      </c>
      <c r="D150" s="22">
        <v>8674000</v>
      </c>
      <c r="E150" s="32">
        <v>5.5E-2</v>
      </c>
      <c r="F150" s="22">
        <f t="shared" si="143"/>
        <v>9151000</v>
      </c>
      <c r="G150" s="32">
        <v>1.4999999999999999E-2</v>
      </c>
      <c r="H150" s="22">
        <f t="shared" si="144"/>
        <v>9288265</v>
      </c>
      <c r="I150" s="32">
        <v>0.02</v>
      </c>
      <c r="J150" s="22">
        <f t="shared" si="145"/>
        <v>9334020</v>
      </c>
      <c r="K150" s="63">
        <v>46</v>
      </c>
      <c r="L150" s="22">
        <v>332966085.66643906</v>
      </c>
      <c r="M150" s="63">
        <v>39</v>
      </c>
      <c r="N150" s="22">
        <v>269802315.34496415</v>
      </c>
      <c r="O150" s="22">
        <f t="shared" si="146"/>
        <v>602768401.0114032</v>
      </c>
      <c r="P150" s="22">
        <f t="shared" si="147"/>
        <v>315607664.13880479</v>
      </c>
      <c r="Q150" s="61">
        <f t="shared" si="148"/>
        <v>330062495.15636206</v>
      </c>
      <c r="R150" s="61">
        <f t="shared" si="149"/>
        <v>2903590.5100769997</v>
      </c>
      <c r="S150" s="61">
        <f t="shared" si="150"/>
        <v>255736791.79617456</v>
      </c>
      <c r="T150" s="61">
        <f t="shared" si="151"/>
        <v>267449536.86043936</v>
      </c>
      <c r="U150" s="61">
        <f t="shared" si="152"/>
        <v>2352778.4845247865</v>
      </c>
      <c r="V150" s="61">
        <f t="shared" si="153"/>
        <v>5256368.9946017861</v>
      </c>
      <c r="X150" s="107"/>
      <c r="Y150" s="107"/>
      <c r="Z150" s="108"/>
      <c r="AA150" s="108"/>
    </row>
    <row r="151" spans="2:27" x14ac:dyDescent="0.2">
      <c r="B151" s="30" t="s">
        <v>571</v>
      </c>
      <c r="C151" s="6">
        <v>40</v>
      </c>
      <c r="D151" s="22">
        <v>11255000</v>
      </c>
      <c r="E151" s="32">
        <v>5.5E-2</v>
      </c>
      <c r="F151" s="22">
        <f t="shared" si="143"/>
        <v>11874000</v>
      </c>
      <c r="G151" s="32">
        <v>1.4999999999999999E-2</v>
      </c>
      <c r="H151" s="22">
        <f t="shared" si="144"/>
        <v>12052110</v>
      </c>
      <c r="I151" s="32">
        <v>0.02</v>
      </c>
      <c r="J151" s="22">
        <f t="shared" si="145"/>
        <v>12111480</v>
      </c>
      <c r="K151" s="63">
        <v>19</v>
      </c>
      <c r="L151" s="22">
        <v>185828091</v>
      </c>
      <c r="M151" s="63">
        <v>10</v>
      </c>
      <c r="N151" s="22">
        <v>90836091</v>
      </c>
      <c r="O151" s="22">
        <f t="shared" si="146"/>
        <v>276664182</v>
      </c>
      <c r="P151" s="22">
        <f t="shared" si="147"/>
        <v>176140370.61611375</v>
      </c>
      <c r="Q151" s="61">
        <f t="shared" si="148"/>
        <v>184207599.59033176</v>
      </c>
      <c r="R151" s="61">
        <f t="shared" si="149"/>
        <v>1620491.409668237</v>
      </c>
      <c r="S151" s="61">
        <f t="shared" si="150"/>
        <v>86100560.189573467</v>
      </c>
      <c r="T151" s="61">
        <f t="shared" si="151"/>
        <v>90043965.846255928</v>
      </c>
      <c r="U151" s="61">
        <f t="shared" si="152"/>
        <v>792125.15374407172</v>
      </c>
      <c r="V151" s="61">
        <f t="shared" si="153"/>
        <v>2412616.5634123087</v>
      </c>
      <c r="X151" s="107"/>
      <c r="Y151" s="107"/>
      <c r="Z151" s="108"/>
      <c r="AA151" s="108"/>
    </row>
    <row r="152" spans="2:27" x14ac:dyDescent="0.2">
      <c r="B152" s="33" t="s">
        <v>230</v>
      </c>
      <c r="C152" s="6"/>
      <c r="D152" s="31"/>
      <c r="E152" s="32"/>
      <c r="F152" s="31"/>
      <c r="G152" s="6"/>
      <c r="H152" s="61"/>
      <c r="I152" s="6"/>
      <c r="J152" s="61"/>
      <c r="K152" s="34"/>
      <c r="L152" s="223"/>
      <c r="M152" s="63"/>
      <c r="N152" s="223"/>
      <c r="O152" s="22"/>
      <c r="P152" s="61"/>
      <c r="Q152" s="61"/>
      <c r="R152" s="61"/>
      <c r="S152" s="61"/>
      <c r="T152" s="61"/>
      <c r="U152" s="61"/>
      <c r="V152" s="62"/>
      <c r="X152" s="107"/>
      <c r="Y152" s="107"/>
      <c r="Z152" s="108"/>
      <c r="AA152" s="108"/>
    </row>
    <row r="153" spans="2:27" x14ac:dyDescent="0.2">
      <c r="B153" s="30" t="s">
        <v>101</v>
      </c>
      <c r="C153" s="6">
        <v>97</v>
      </c>
      <c r="D153" s="22">
        <v>17365000</v>
      </c>
      <c r="E153" s="32">
        <v>5.5E-2</v>
      </c>
      <c r="F153" s="22">
        <f t="shared" ref="F153:F174" si="158">+ROUND((D153*E153)+D153,-3)</f>
        <v>18320000</v>
      </c>
      <c r="G153" s="32">
        <v>1.4999999999999999E-2</v>
      </c>
      <c r="H153" s="22">
        <f t="shared" ref="H153:H171" si="159">+(F153*G153)+F153</f>
        <v>18594800</v>
      </c>
      <c r="I153" s="32">
        <v>0.02</v>
      </c>
      <c r="J153" s="22">
        <f>+(F153*I153)+F153</f>
        <v>18686400</v>
      </c>
      <c r="K153" s="63">
        <v>15</v>
      </c>
      <c r="L153" s="22">
        <v>116370460</v>
      </c>
      <c r="M153" s="63">
        <v>18</v>
      </c>
      <c r="N153" s="22">
        <v>141141370</v>
      </c>
      <c r="O153" s="22">
        <f t="shared" ref="O153:O174" si="160">L153+N153</f>
        <v>257511830</v>
      </c>
      <c r="P153" s="22">
        <f t="shared" ref="P153:P174" si="161">L153/(1+E153)</f>
        <v>110303753.55450238</v>
      </c>
      <c r="Q153" s="61">
        <f t="shared" ref="Q153:Q174" si="162">(P153*$Q$8)+P153</f>
        <v>115355665.4672986</v>
      </c>
      <c r="R153" s="61">
        <f t="shared" ref="R153:R174" si="163">L153-Q153</f>
        <v>1014794.5327014029</v>
      </c>
      <c r="S153" s="61">
        <f t="shared" ref="S153:S174" si="164">N153/(1+E153)</f>
        <v>133783289.09952608</v>
      </c>
      <c r="T153" s="61">
        <f t="shared" ref="T153:T174" si="165">(S153*$T$8)+S153</f>
        <v>139910563.74028438</v>
      </c>
      <c r="U153" s="61">
        <f t="shared" ref="U153:U174" si="166">N153-T153</f>
        <v>1230806.2597156167</v>
      </c>
      <c r="V153" s="61">
        <f t="shared" ref="V153:V174" si="167">R153+U153</f>
        <v>2245600.7924170196</v>
      </c>
      <c r="X153" s="107"/>
      <c r="Y153" s="107"/>
      <c r="Z153" s="108"/>
      <c r="AA153" s="108"/>
    </row>
    <row r="154" spans="2:27" x14ac:dyDescent="0.2">
      <c r="B154" s="30" t="s">
        <v>114</v>
      </c>
      <c r="C154" s="6">
        <v>28</v>
      </c>
      <c r="D154" s="22">
        <v>9400000</v>
      </c>
      <c r="E154" s="32">
        <v>5.5E-2</v>
      </c>
      <c r="F154" s="22">
        <f t="shared" si="158"/>
        <v>9917000</v>
      </c>
      <c r="G154" s="32">
        <v>1.4999999999999999E-2</v>
      </c>
      <c r="H154" s="22">
        <f t="shared" si="159"/>
        <v>10065755</v>
      </c>
      <c r="I154" s="32">
        <v>0.02</v>
      </c>
      <c r="J154" s="22">
        <f t="shared" ref="J154:J155" si="168">+(F154*I154)+F154</f>
        <v>10115340</v>
      </c>
      <c r="K154" s="63">
        <v>77</v>
      </c>
      <c r="L154" s="22">
        <v>743732700</v>
      </c>
      <c r="M154" s="63">
        <v>60</v>
      </c>
      <c r="N154" s="22">
        <v>586094700</v>
      </c>
      <c r="O154" s="22">
        <f t="shared" si="160"/>
        <v>1329827400</v>
      </c>
      <c r="P154" s="22">
        <f t="shared" si="161"/>
        <v>704959905.21327019</v>
      </c>
      <c r="Q154" s="61">
        <f t="shared" si="162"/>
        <v>737247068.87203801</v>
      </c>
      <c r="R154" s="61">
        <f t="shared" si="163"/>
        <v>6485631.1279619932</v>
      </c>
      <c r="S154" s="61">
        <f t="shared" si="164"/>
        <v>555540000</v>
      </c>
      <c r="T154" s="61">
        <f t="shared" si="165"/>
        <v>580983732</v>
      </c>
      <c r="U154" s="61">
        <f t="shared" si="166"/>
        <v>5110968</v>
      </c>
      <c r="V154" s="61">
        <f t="shared" si="167"/>
        <v>11596599.127961993</v>
      </c>
      <c r="X154" s="107"/>
      <c r="Y154" s="107"/>
      <c r="Z154" s="108"/>
      <c r="AA154" s="108"/>
    </row>
    <row r="155" spans="2:27" x14ac:dyDescent="0.2">
      <c r="B155" s="30" t="s">
        <v>107</v>
      </c>
      <c r="C155" s="6">
        <v>30</v>
      </c>
      <c r="D155" s="22">
        <v>9651000</v>
      </c>
      <c r="E155" s="32">
        <v>5.5E-2</v>
      </c>
      <c r="F155" s="22">
        <f t="shared" si="158"/>
        <v>10182000</v>
      </c>
      <c r="G155" s="32">
        <v>1.4999999999999999E-2</v>
      </c>
      <c r="H155" s="22">
        <f t="shared" si="159"/>
        <v>10334730</v>
      </c>
      <c r="I155" s="32">
        <v>0.02</v>
      </c>
      <c r="J155" s="22">
        <f t="shared" si="168"/>
        <v>10385640</v>
      </c>
      <c r="K155" s="63">
        <v>83</v>
      </c>
      <c r="L155" s="22">
        <v>820538970</v>
      </c>
      <c r="M155" s="63">
        <v>68</v>
      </c>
      <c r="N155" s="22">
        <v>678121200</v>
      </c>
      <c r="O155" s="22">
        <f t="shared" si="160"/>
        <v>1498660170</v>
      </c>
      <c r="P155" s="22">
        <f t="shared" si="161"/>
        <v>777762056.87203801</v>
      </c>
      <c r="Q155" s="61">
        <f t="shared" si="162"/>
        <v>813383559.07677734</v>
      </c>
      <c r="R155" s="61">
        <f t="shared" si="163"/>
        <v>7155410.923222661</v>
      </c>
      <c r="S155" s="61">
        <f t="shared" si="164"/>
        <v>642768909.95260668</v>
      </c>
      <c r="T155" s="61">
        <f t="shared" si="165"/>
        <v>672207726.02843606</v>
      </c>
      <c r="U155" s="61">
        <f t="shared" si="166"/>
        <v>5913473.9715639353</v>
      </c>
      <c r="V155" s="61">
        <f t="shared" si="167"/>
        <v>13068884.894786596</v>
      </c>
      <c r="X155" s="107"/>
      <c r="Y155" s="107"/>
      <c r="Z155" s="108"/>
      <c r="AA155" s="108"/>
    </row>
    <row r="156" spans="2:27" x14ac:dyDescent="0.2">
      <c r="B156" s="30" t="s">
        <v>109</v>
      </c>
      <c r="C156" s="6">
        <v>30</v>
      </c>
      <c r="D156" s="22">
        <v>9400000</v>
      </c>
      <c r="E156" s="32">
        <v>5.5E-2</v>
      </c>
      <c r="F156" s="22">
        <f t="shared" si="158"/>
        <v>9917000</v>
      </c>
      <c r="G156" s="32">
        <v>1.4999999999999999E-2</v>
      </c>
      <c r="H156" s="22">
        <f t="shared" si="159"/>
        <v>10065755</v>
      </c>
      <c r="I156" s="32">
        <v>0.02</v>
      </c>
      <c r="J156" s="22">
        <f>+(F156*I156)+F156</f>
        <v>10115340</v>
      </c>
      <c r="K156" s="63">
        <v>15</v>
      </c>
      <c r="L156" s="22">
        <v>142203200</v>
      </c>
      <c r="M156" s="63">
        <v>15</v>
      </c>
      <c r="N156" s="22">
        <v>144788200</v>
      </c>
      <c r="O156" s="22">
        <f t="shared" si="160"/>
        <v>286991400</v>
      </c>
      <c r="P156" s="22">
        <f t="shared" si="161"/>
        <v>134789763.03317535</v>
      </c>
      <c r="Q156" s="61">
        <f t="shared" si="162"/>
        <v>140963134.18009478</v>
      </c>
      <c r="R156" s="61">
        <f t="shared" si="163"/>
        <v>1240065.8199052215</v>
      </c>
      <c r="S156" s="61">
        <f t="shared" si="164"/>
        <v>137240000</v>
      </c>
      <c r="T156" s="61">
        <f t="shared" si="165"/>
        <v>143525592</v>
      </c>
      <c r="U156" s="61">
        <f t="shared" si="166"/>
        <v>1262608</v>
      </c>
      <c r="V156" s="61">
        <f t="shared" si="167"/>
        <v>2502673.8199052215</v>
      </c>
      <c r="X156" s="107"/>
      <c r="Y156" s="107"/>
      <c r="Z156" s="108"/>
      <c r="AA156" s="108"/>
    </row>
    <row r="157" spans="2:27" x14ac:dyDescent="0.2">
      <c r="B157" s="30" t="s">
        <v>570</v>
      </c>
      <c r="C157" s="6">
        <v>29</v>
      </c>
      <c r="D157" s="22">
        <v>9651000</v>
      </c>
      <c r="E157" s="32">
        <v>5.5E-2</v>
      </c>
      <c r="F157" s="22">
        <f t="shared" si="158"/>
        <v>10182000</v>
      </c>
      <c r="G157" s="32">
        <v>1.4999999999999999E-2</v>
      </c>
      <c r="H157" s="22">
        <f t="shared" si="159"/>
        <v>10334730</v>
      </c>
      <c r="I157" s="32">
        <v>0.02</v>
      </c>
      <c r="J157" s="22">
        <f>+(F157*I157)+F157</f>
        <v>10385640</v>
      </c>
      <c r="K157" s="63">
        <v>10</v>
      </c>
      <c r="L157" s="22">
        <v>96198195</v>
      </c>
      <c r="M157" s="63">
        <v>10</v>
      </c>
      <c r="N157" s="22">
        <v>96729000</v>
      </c>
      <c r="O157" s="22">
        <f t="shared" si="160"/>
        <v>192927195</v>
      </c>
      <c r="P157" s="22">
        <f t="shared" si="161"/>
        <v>91183123.222748816</v>
      </c>
      <c r="Q157" s="61">
        <f t="shared" si="162"/>
        <v>95359310.266350716</v>
      </c>
      <c r="R157" s="61">
        <f t="shared" si="163"/>
        <v>838884.73364928365</v>
      </c>
      <c r="S157" s="61">
        <f t="shared" si="164"/>
        <v>91686255.924170628</v>
      </c>
      <c r="T157" s="61">
        <f t="shared" si="165"/>
        <v>95885486.445497647</v>
      </c>
      <c r="U157" s="61">
        <f t="shared" si="166"/>
        <v>843513.55450235307</v>
      </c>
      <c r="V157" s="61">
        <f t="shared" si="167"/>
        <v>1682398.2881516367</v>
      </c>
      <c r="X157" s="107"/>
      <c r="Y157" s="107"/>
      <c r="Z157" s="108"/>
      <c r="AA157" s="108"/>
    </row>
    <row r="158" spans="2:27" x14ac:dyDescent="0.2">
      <c r="B158" s="30" t="s">
        <v>389</v>
      </c>
      <c r="C158" s="6">
        <v>29</v>
      </c>
      <c r="D158" s="22">
        <v>9490000</v>
      </c>
      <c r="E158" s="32">
        <v>5.5E-2</v>
      </c>
      <c r="F158" s="22">
        <f t="shared" ref="F158" si="169">+ROUND((D158*E158)+D158,-3)</f>
        <v>10012000</v>
      </c>
      <c r="G158" s="32">
        <v>1.4999999999999999E-2</v>
      </c>
      <c r="H158" s="22">
        <f t="shared" ref="H158" si="170">+(F158*G158)+F158</f>
        <v>10162180</v>
      </c>
      <c r="I158" s="32">
        <v>0.02</v>
      </c>
      <c r="J158" s="22">
        <f>+(F158*I158)+F158</f>
        <v>10212240</v>
      </c>
      <c r="K158" s="63">
        <v>0</v>
      </c>
      <c r="L158" s="22">
        <v>0</v>
      </c>
      <c r="M158" s="63">
        <v>0</v>
      </c>
      <c r="N158" s="22">
        <v>0</v>
      </c>
      <c r="O158" s="22">
        <f t="shared" si="160"/>
        <v>0</v>
      </c>
      <c r="P158" s="22">
        <f t="shared" si="161"/>
        <v>0</v>
      </c>
      <c r="Q158" s="61">
        <f t="shared" si="162"/>
        <v>0</v>
      </c>
      <c r="R158" s="61">
        <f t="shared" si="163"/>
        <v>0</v>
      </c>
      <c r="S158" s="61">
        <f t="shared" si="164"/>
        <v>0</v>
      </c>
      <c r="T158" s="61">
        <f t="shared" si="165"/>
        <v>0</v>
      </c>
      <c r="U158" s="61">
        <f t="shared" si="166"/>
        <v>0</v>
      </c>
      <c r="V158" s="61">
        <f t="shared" si="167"/>
        <v>0</v>
      </c>
      <c r="X158" s="107"/>
      <c r="Y158" s="107"/>
      <c r="Z158" s="108"/>
      <c r="AA158" s="108"/>
    </row>
    <row r="159" spans="2:27" x14ac:dyDescent="0.2">
      <c r="B159" s="30" t="s">
        <v>112</v>
      </c>
      <c r="C159" s="6">
        <v>27</v>
      </c>
      <c r="D159" s="22">
        <v>9400000</v>
      </c>
      <c r="E159" s="32">
        <v>5.5E-2</v>
      </c>
      <c r="F159" s="22">
        <f t="shared" si="158"/>
        <v>9917000</v>
      </c>
      <c r="G159" s="32">
        <v>1.4999999999999999E-2</v>
      </c>
      <c r="H159" s="22">
        <f t="shared" si="159"/>
        <v>10065755</v>
      </c>
      <c r="I159" s="32">
        <v>0.02</v>
      </c>
      <c r="J159" s="22">
        <f>+(F159*I159)+F159</f>
        <v>10115340</v>
      </c>
      <c r="K159" s="63">
        <v>10</v>
      </c>
      <c r="L159" s="22">
        <v>96152600</v>
      </c>
      <c r="M159" s="63">
        <v>10</v>
      </c>
      <c r="N159" s="22">
        <v>97186600</v>
      </c>
      <c r="O159" s="22">
        <f t="shared" si="160"/>
        <v>193339200</v>
      </c>
      <c r="P159" s="22">
        <f t="shared" si="161"/>
        <v>91139905.213270143</v>
      </c>
      <c r="Q159" s="61">
        <f t="shared" si="162"/>
        <v>95314112.872037917</v>
      </c>
      <c r="R159" s="61">
        <f t="shared" si="163"/>
        <v>838487.12796208262</v>
      </c>
      <c r="S159" s="61">
        <f t="shared" si="164"/>
        <v>92120000</v>
      </c>
      <c r="T159" s="61">
        <f t="shared" si="165"/>
        <v>96339096</v>
      </c>
      <c r="U159" s="61">
        <f t="shared" si="166"/>
        <v>847504</v>
      </c>
      <c r="V159" s="61">
        <f t="shared" si="167"/>
        <v>1685991.1279620826</v>
      </c>
      <c r="X159" s="107"/>
      <c r="Y159" s="107"/>
      <c r="Z159" s="108"/>
      <c r="AA159" s="108"/>
    </row>
    <row r="160" spans="2:27" x14ac:dyDescent="0.2">
      <c r="B160" s="30" t="s">
        <v>108</v>
      </c>
      <c r="C160" s="6">
        <v>25</v>
      </c>
      <c r="D160" s="22">
        <v>9651000</v>
      </c>
      <c r="E160" s="32">
        <v>5.5E-2</v>
      </c>
      <c r="F160" s="22">
        <f t="shared" si="158"/>
        <v>10182000</v>
      </c>
      <c r="G160" s="32">
        <v>1.4999999999999999E-2</v>
      </c>
      <c r="H160" s="22">
        <f t="shared" si="159"/>
        <v>10334730</v>
      </c>
      <c r="I160" s="32">
        <v>0.02</v>
      </c>
      <c r="J160" s="22">
        <f>+(F160*I160)+F160</f>
        <v>10385640</v>
      </c>
      <c r="K160" s="63">
        <v>25</v>
      </c>
      <c r="L160" s="22">
        <v>244237770</v>
      </c>
      <c r="M160" s="63">
        <v>25</v>
      </c>
      <c r="N160" s="22">
        <v>247422600</v>
      </c>
      <c r="O160" s="22">
        <f t="shared" si="160"/>
        <v>491660370</v>
      </c>
      <c r="P160" s="22">
        <f t="shared" si="161"/>
        <v>231504995.26066351</v>
      </c>
      <c r="Q160" s="61">
        <f t="shared" si="162"/>
        <v>242107924.0436019</v>
      </c>
      <c r="R160" s="61">
        <f t="shared" si="163"/>
        <v>2129845.9563980997</v>
      </c>
      <c r="S160" s="61">
        <f t="shared" si="164"/>
        <v>234523791.46919432</v>
      </c>
      <c r="T160" s="61">
        <f t="shared" si="165"/>
        <v>245264981.11848342</v>
      </c>
      <c r="U160" s="61">
        <f t="shared" si="166"/>
        <v>2157618.8815165758</v>
      </c>
      <c r="V160" s="61">
        <f t="shared" si="167"/>
        <v>4287464.8379146755</v>
      </c>
      <c r="X160" s="107"/>
      <c r="Y160" s="107"/>
      <c r="Z160" s="108"/>
      <c r="AA160" s="108"/>
    </row>
    <row r="161" spans="2:27" x14ac:dyDescent="0.2">
      <c r="B161" s="30" t="s">
        <v>111</v>
      </c>
      <c r="C161" s="6">
        <v>28</v>
      </c>
      <c r="D161" s="22">
        <v>6438000</v>
      </c>
      <c r="E161" s="32">
        <v>5.5E-2</v>
      </c>
      <c r="F161" s="22">
        <f t="shared" si="158"/>
        <v>6792000</v>
      </c>
      <c r="G161" s="32">
        <v>1.4999999999999999E-2</v>
      </c>
      <c r="H161" s="22">
        <f t="shared" si="159"/>
        <v>6893880</v>
      </c>
      <c r="I161" s="32">
        <v>0.02</v>
      </c>
      <c r="J161" s="22">
        <f t="shared" ref="J161:J171" si="171">+(F161*I161)+F161</f>
        <v>6927840</v>
      </c>
      <c r="K161" s="63">
        <v>17</v>
      </c>
      <c r="L161" s="22">
        <v>114105600</v>
      </c>
      <c r="M161" s="63">
        <v>17</v>
      </c>
      <c r="N161" s="22">
        <v>114105600</v>
      </c>
      <c r="O161" s="22">
        <f t="shared" si="160"/>
        <v>228211200</v>
      </c>
      <c r="P161" s="22">
        <f t="shared" si="161"/>
        <v>108156966.82464455</v>
      </c>
      <c r="Q161" s="61">
        <f t="shared" si="162"/>
        <v>113110555.90521327</v>
      </c>
      <c r="R161" s="61">
        <f t="shared" si="163"/>
        <v>995044.09478673339</v>
      </c>
      <c r="S161" s="61">
        <f t="shared" si="164"/>
        <v>108156966.82464455</v>
      </c>
      <c r="T161" s="61">
        <f t="shared" si="165"/>
        <v>113110555.90521327</v>
      </c>
      <c r="U161" s="61">
        <f t="shared" si="166"/>
        <v>995044.09478673339</v>
      </c>
      <c r="V161" s="61">
        <f t="shared" si="167"/>
        <v>1990088.1895734668</v>
      </c>
      <c r="X161" s="107"/>
      <c r="Y161" s="107"/>
      <c r="Z161" s="108"/>
      <c r="AA161" s="108"/>
    </row>
    <row r="162" spans="2:27" x14ac:dyDescent="0.2">
      <c r="B162" s="30" t="s">
        <v>113</v>
      </c>
      <c r="C162" s="6">
        <v>25</v>
      </c>
      <c r="D162" s="22">
        <v>9283000</v>
      </c>
      <c r="E162" s="32">
        <v>5.5E-2</v>
      </c>
      <c r="F162" s="22">
        <f t="shared" si="158"/>
        <v>9794000</v>
      </c>
      <c r="G162" s="32">
        <v>1.4999999999999999E-2</v>
      </c>
      <c r="H162" s="22">
        <f t="shared" si="159"/>
        <v>9940910</v>
      </c>
      <c r="I162" s="32">
        <v>0.02</v>
      </c>
      <c r="J162" s="22">
        <f t="shared" si="171"/>
        <v>9989880</v>
      </c>
      <c r="K162" s="63">
        <v>17</v>
      </c>
      <c r="L162" s="22">
        <v>156109975</v>
      </c>
      <c r="M162" s="63">
        <v>17</v>
      </c>
      <c r="N162" s="22">
        <v>158662800</v>
      </c>
      <c r="O162" s="22">
        <f t="shared" si="160"/>
        <v>314772775</v>
      </c>
      <c r="P162" s="22">
        <f t="shared" si="161"/>
        <v>147971540.2843602</v>
      </c>
      <c r="Q162" s="61">
        <f t="shared" si="162"/>
        <v>154748636.82938391</v>
      </c>
      <c r="R162" s="61">
        <f t="shared" si="163"/>
        <v>1361338.1706160903</v>
      </c>
      <c r="S162" s="61">
        <f t="shared" si="164"/>
        <v>150391279.6208531</v>
      </c>
      <c r="T162" s="61">
        <f t="shared" si="165"/>
        <v>157279200.22748816</v>
      </c>
      <c r="U162" s="61">
        <f t="shared" si="166"/>
        <v>1383599.7725118399</v>
      </c>
      <c r="V162" s="61">
        <f t="shared" si="167"/>
        <v>2744937.9431279302</v>
      </c>
      <c r="X162" s="107"/>
      <c r="Y162" s="107"/>
      <c r="Z162" s="108"/>
      <c r="AA162" s="108"/>
    </row>
    <row r="163" spans="2:27" x14ac:dyDescent="0.2">
      <c r="B163" s="30" t="s">
        <v>584</v>
      </c>
      <c r="C163" s="6">
        <v>24</v>
      </c>
      <c r="D163" s="22">
        <v>9242000</v>
      </c>
      <c r="E163" s="32">
        <v>5.5E-2</v>
      </c>
      <c r="F163" s="22">
        <f t="shared" si="158"/>
        <v>9750000</v>
      </c>
      <c r="G163" s="32">
        <v>1.4999999999999999E-2</v>
      </c>
      <c r="H163" s="22">
        <f t="shared" si="159"/>
        <v>9896250</v>
      </c>
      <c r="I163" s="32">
        <v>0.02</v>
      </c>
      <c r="J163" s="22">
        <f t="shared" si="171"/>
        <v>9945000</v>
      </c>
      <c r="K163" s="63">
        <v>20</v>
      </c>
      <c r="L163" s="22">
        <v>184700070</v>
      </c>
      <c r="M163" s="63">
        <v>20</v>
      </c>
      <c r="N163" s="22">
        <v>186225000</v>
      </c>
      <c r="O163" s="22">
        <f t="shared" si="160"/>
        <v>370925070</v>
      </c>
      <c r="P163" s="22">
        <f t="shared" si="161"/>
        <v>175071156.39810428</v>
      </c>
      <c r="Q163" s="61">
        <f t="shared" si="162"/>
        <v>183089415.36113745</v>
      </c>
      <c r="R163" s="61">
        <f t="shared" si="163"/>
        <v>1610654.6388625503</v>
      </c>
      <c r="S163" s="61">
        <f t="shared" si="164"/>
        <v>176516587.67772514</v>
      </c>
      <c r="T163" s="61">
        <f t="shared" si="165"/>
        <v>184601047.39336494</v>
      </c>
      <c r="U163" s="61">
        <f t="shared" si="166"/>
        <v>1623952.6066350639</v>
      </c>
      <c r="V163" s="61">
        <f t="shared" si="167"/>
        <v>3234607.2454976141</v>
      </c>
      <c r="X163" s="107"/>
      <c r="Y163" s="107"/>
      <c r="Z163" s="108"/>
      <c r="AA163" s="108"/>
    </row>
    <row r="164" spans="2:27" x14ac:dyDescent="0.2">
      <c r="B164" s="30" t="s">
        <v>106</v>
      </c>
      <c r="C164" s="6">
        <v>27</v>
      </c>
      <c r="D164" s="22">
        <v>9400000</v>
      </c>
      <c r="E164" s="32">
        <v>5.5E-2</v>
      </c>
      <c r="F164" s="22">
        <f t="shared" si="158"/>
        <v>9917000</v>
      </c>
      <c r="G164" s="32">
        <v>1.4999999999999999E-2</v>
      </c>
      <c r="H164" s="22">
        <f t="shared" si="159"/>
        <v>10065755</v>
      </c>
      <c r="I164" s="32">
        <v>0.02</v>
      </c>
      <c r="J164" s="22">
        <f t="shared" si="171"/>
        <v>10115340</v>
      </c>
      <c r="K164" s="63">
        <v>40</v>
      </c>
      <c r="L164" s="22">
        <v>381076000</v>
      </c>
      <c r="M164" s="63">
        <v>40</v>
      </c>
      <c r="N164" s="22">
        <v>386763000</v>
      </c>
      <c r="O164" s="22">
        <f t="shared" si="160"/>
        <v>767839000</v>
      </c>
      <c r="P164" s="22">
        <f t="shared" si="161"/>
        <v>361209478.67298579</v>
      </c>
      <c r="Q164" s="61">
        <f t="shared" si="162"/>
        <v>377752872.79620856</v>
      </c>
      <c r="R164" s="61">
        <f t="shared" si="163"/>
        <v>3323127.2037914395</v>
      </c>
      <c r="S164" s="61">
        <f t="shared" si="164"/>
        <v>366600000</v>
      </c>
      <c r="T164" s="61">
        <f t="shared" si="165"/>
        <v>383390280</v>
      </c>
      <c r="U164" s="61">
        <f t="shared" si="166"/>
        <v>3372720</v>
      </c>
      <c r="V164" s="61">
        <f t="shared" si="167"/>
        <v>6695847.2037914395</v>
      </c>
      <c r="X164" s="107"/>
      <c r="Y164" s="107"/>
      <c r="Z164" s="108"/>
      <c r="AA164" s="108"/>
    </row>
    <row r="165" spans="2:27" x14ac:dyDescent="0.2">
      <c r="B165" s="30" t="s">
        <v>184</v>
      </c>
      <c r="C165" s="6">
        <v>27</v>
      </c>
      <c r="D165" s="22">
        <v>9651000</v>
      </c>
      <c r="E165" s="32">
        <v>5.5E-2</v>
      </c>
      <c r="F165" s="22">
        <f t="shared" si="158"/>
        <v>10182000</v>
      </c>
      <c r="G165" s="32">
        <v>1.4999999999999999E-2</v>
      </c>
      <c r="H165" s="22">
        <f t="shared" si="159"/>
        <v>10334730</v>
      </c>
      <c r="I165" s="32">
        <v>0.02</v>
      </c>
      <c r="J165" s="22">
        <f t="shared" si="171"/>
        <v>10385640</v>
      </c>
      <c r="K165" s="63">
        <v>0</v>
      </c>
      <c r="L165" s="22">
        <v>0</v>
      </c>
      <c r="M165" s="63">
        <v>0</v>
      </c>
      <c r="N165" s="22">
        <v>0</v>
      </c>
      <c r="O165" s="22">
        <f t="shared" si="160"/>
        <v>0</v>
      </c>
      <c r="P165" s="22">
        <f t="shared" si="161"/>
        <v>0</v>
      </c>
      <c r="Q165" s="61">
        <f t="shared" si="162"/>
        <v>0</v>
      </c>
      <c r="R165" s="61">
        <f t="shared" si="163"/>
        <v>0</v>
      </c>
      <c r="S165" s="61">
        <f t="shared" si="164"/>
        <v>0</v>
      </c>
      <c r="T165" s="61">
        <f t="shared" si="165"/>
        <v>0</v>
      </c>
      <c r="U165" s="61">
        <f t="shared" si="166"/>
        <v>0</v>
      </c>
      <c r="V165" s="61">
        <f t="shared" si="167"/>
        <v>0</v>
      </c>
      <c r="X165" s="107"/>
      <c r="Y165" s="107"/>
      <c r="Z165" s="108"/>
      <c r="AA165" s="108"/>
    </row>
    <row r="166" spans="2:27" x14ac:dyDescent="0.2">
      <c r="B166" s="30" t="s">
        <v>185</v>
      </c>
      <c r="C166" s="6">
        <v>30</v>
      </c>
      <c r="D166" s="22">
        <v>9400000</v>
      </c>
      <c r="E166" s="32">
        <v>5.5E-2</v>
      </c>
      <c r="F166" s="22">
        <f t="shared" si="158"/>
        <v>9917000</v>
      </c>
      <c r="G166" s="32">
        <v>1.4999999999999999E-2</v>
      </c>
      <c r="H166" s="22">
        <f t="shared" si="159"/>
        <v>10065755</v>
      </c>
      <c r="I166" s="32">
        <v>0.02</v>
      </c>
      <c r="J166" s="22">
        <f t="shared" si="171"/>
        <v>10115340</v>
      </c>
      <c r="K166" s="63">
        <v>10</v>
      </c>
      <c r="L166" s="22">
        <v>96110300</v>
      </c>
      <c r="M166" s="63">
        <v>10</v>
      </c>
      <c r="N166" s="22">
        <v>98178300</v>
      </c>
      <c r="O166" s="22">
        <f t="shared" si="160"/>
        <v>194288600</v>
      </c>
      <c r="P166" s="22">
        <f t="shared" si="161"/>
        <v>91099810.426540285</v>
      </c>
      <c r="Q166" s="61">
        <f t="shared" si="162"/>
        <v>95272181.744075835</v>
      </c>
      <c r="R166" s="61">
        <f t="shared" si="163"/>
        <v>838118.25592416525</v>
      </c>
      <c r="S166" s="61">
        <f t="shared" si="164"/>
        <v>93060000</v>
      </c>
      <c r="T166" s="61">
        <f t="shared" si="165"/>
        <v>97322148</v>
      </c>
      <c r="U166" s="61">
        <f t="shared" si="166"/>
        <v>856152</v>
      </c>
      <c r="V166" s="61">
        <f t="shared" si="167"/>
        <v>1694270.2559241652</v>
      </c>
      <c r="X166" s="107"/>
      <c r="Y166" s="107"/>
      <c r="Z166" s="108"/>
      <c r="AA166" s="108"/>
    </row>
    <row r="167" spans="2:27" x14ac:dyDescent="0.2">
      <c r="B167" s="30" t="s">
        <v>105</v>
      </c>
      <c r="C167" s="6">
        <v>30</v>
      </c>
      <c r="D167" s="22">
        <v>9358000</v>
      </c>
      <c r="E167" s="32">
        <v>5.5E-2</v>
      </c>
      <c r="F167" s="22">
        <f t="shared" si="158"/>
        <v>9873000</v>
      </c>
      <c r="G167" s="32">
        <v>1.4999999999999999E-2</v>
      </c>
      <c r="H167" s="22">
        <f t="shared" si="159"/>
        <v>10021095</v>
      </c>
      <c r="I167" s="32">
        <v>0.02</v>
      </c>
      <c r="J167" s="22">
        <f t="shared" si="171"/>
        <v>10070460</v>
      </c>
      <c r="K167" s="63">
        <v>53</v>
      </c>
      <c r="L167" s="22">
        <v>509791000</v>
      </c>
      <c r="M167" s="63">
        <v>50</v>
      </c>
      <c r="N167" s="22">
        <v>483777000</v>
      </c>
      <c r="O167" s="22">
        <f t="shared" si="160"/>
        <v>993568000</v>
      </c>
      <c r="P167" s="22">
        <f t="shared" si="161"/>
        <v>483214218.00947869</v>
      </c>
      <c r="Q167" s="61">
        <f t="shared" si="162"/>
        <v>505345429.19431281</v>
      </c>
      <c r="R167" s="61">
        <f t="shared" si="163"/>
        <v>4445570.8056871891</v>
      </c>
      <c r="S167" s="61">
        <f t="shared" si="164"/>
        <v>458556398.10426545</v>
      </c>
      <c r="T167" s="61">
        <f t="shared" si="165"/>
        <v>479558281.1374408</v>
      </c>
      <c r="U167" s="61">
        <f t="shared" si="166"/>
        <v>4218718.8625591993</v>
      </c>
      <c r="V167" s="61">
        <f t="shared" si="167"/>
        <v>8664289.6682463884</v>
      </c>
      <c r="X167" s="107"/>
      <c r="Y167" s="107"/>
      <c r="Z167" s="108"/>
      <c r="AA167" s="108"/>
    </row>
    <row r="168" spans="2:27" x14ac:dyDescent="0.2">
      <c r="B168" s="30" t="s">
        <v>110</v>
      </c>
      <c r="C168" s="6">
        <v>25</v>
      </c>
      <c r="D168" s="22">
        <v>9651000</v>
      </c>
      <c r="E168" s="32">
        <v>5.5E-2</v>
      </c>
      <c r="F168" s="22">
        <f t="shared" si="158"/>
        <v>10182000</v>
      </c>
      <c r="G168" s="32">
        <v>1.4999999999999999E-2</v>
      </c>
      <c r="H168" s="22">
        <f t="shared" si="159"/>
        <v>10334730</v>
      </c>
      <c r="I168" s="32">
        <v>0.02</v>
      </c>
      <c r="J168" s="22">
        <f t="shared" si="171"/>
        <v>10385640</v>
      </c>
      <c r="K168" s="63">
        <v>10</v>
      </c>
      <c r="L168" s="22">
        <v>92612790</v>
      </c>
      <c r="M168" s="63">
        <v>10</v>
      </c>
      <c r="N168" s="22">
        <v>93674400</v>
      </c>
      <c r="O168" s="22">
        <f t="shared" si="160"/>
        <v>186287190</v>
      </c>
      <c r="P168" s="22">
        <f t="shared" si="161"/>
        <v>87784635.071090057</v>
      </c>
      <c r="Q168" s="61">
        <f t="shared" si="162"/>
        <v>91805171.357345983</v>
      </c>
      <c r="R168" s="61">
        <f t="shared" si="163"/>
        <v>807618.64265401661</v>
      </c>
      <c r="S168" s="61">
        <f t="shared" si="164"/>
        <v>88790900.473933652</v>
      </c>
      <c r="T168" s="61">
        <f t="shared" si="165"/>
        <v>92857523.715639815</v>
      </c>
      <c r="U168" s="61">
        <f t="shared" si="166"/>
        <v>816876.28436018527</v>
      </c>
      <c r="V168" s="61">
        <f t="shared" si="167"/>
        <v>1624494.9270142019</v>
      </c>
      <c r="X168" s="107"/>
      <c r="Y168" s="107"/>
      <c r="Z168" s="108"/>
      <c r="AA168" s="108"/>
    </row>
    <row r="169" spans="2:27" x14ac:dyDescent="0.2">
      <c r="B169" s="30" t="s">
        <v>390</v>
      </c>
      <c r="C169" s="6">
        <v>25</v>
      </c>
      <c r="D169" s="22">
        <v>9651000</v>
      </c>
      <c r="E169" s="32">
        <v>5.5E-2</v>
      </c>
      <c r="F169" s="22">
        <f t="shared" ref="F169" si="172">+ROUND((D169*E169)+D169,-3)</f>
        <v>10182000</v>
      </c>
      <c r="G169" s="32">
        <v>1.4999999999999999E-2</v>
      </c>
      <c r="H169" s="22">
        <f t="shared" ref="H169" si="173">+(F169*G169)+F169</f>
        <v>10334730</v>
      </c>
      <c r="I169" s="32">
        <v>0.02</v>
      </c>
      <c r="J169" s="22">
        <f t="shared" ref="J169" si="174">+(F169*I169)+F169</f>
        <v>10385640</v>
      </c>
      <c r="K169" s="63">
        <v>0</v>
      </c>
      <c r="L169" s="22">
        <v>0</v>
      </c>
      <c r="M169" s="63">
        <v>0</v>
      </c>
      <c r="N169" s="22">
        <v>0</v>
      </c>
      <c r="O169" s="22">
        <f t="shared" si="160"/>
        <v>0</v>
      </c>
      <c r="P169" s="22">
        <f t="shared" si="161"/>
        <v>0</v>
      </c>
      <c r="Q169" s="61">
        <f t="shared" si="162"/>
        <v>0</v>
      </c>
      <c r="R169" s="61">
        <f t="shared" si="163"/>
        <v>0</v>
      </c>
      <c r="S169" s="61">
        <f t="shared" si="164"/>
        <v>0</v>
      </c>
      <c r="T169" s="61">
        <f t="shared" si="165"/>
        <v>0</v>
      </c>
      <c r="U169" s="61">
        <f t="shared" si="166"/>
        <v>0</v>
      </c>
      <c r="V169" s="61">
        <f t="shared" si="167"/>
        <v>0</v>
      </c>
      <c r="X169" s="107"/>
      <c r="Y169" s="107"/>
      <c r="Z169" s="108"/>
      <c r="AA169" s="108"/>
    </row>
    <row r="170" spans="2:27" x14ac:dyDescent="0.2">
      <c r="B170" s="30" t="s">
        <v>104</v>
      </c>
      <c r="C170" s="6">
        <v>50</v>
      </c>
      <c r="D170" s="22">
        <v>10734000</v>
      </c>
      <c r="E170" s="32">
        <v>5.5E-2</v>
      </c>
      <c r="F170" s="22">
        <f t="shared" si="158"/>
        <v>11324000</v>
      </c>
      <c r="G170" s="32">
        <v>1.4999999999999999E-2</v>
      </c>
      <c r="H170" s="22">
        <f t="shared" si="159"/>
        <v>11493860</v>
      </c>
      <c r="I170" s="32">
        <v>0.02</v>
      </c>
      <c r="J170" s="22">
        <f t="shared" si="171"/>
        <v>11550480</v>
      </c>
      <c r="K170" s="63">
        <v>70</v>
      </c>
      <c r="L170" s="22">
        <v>718459460</v>
      </c>
      <c r="M170" s="63">
        <v>76</v>
      </c>
      <c r="N170" s="22">
        <v>787584200</v>
      </c>
      <c r="O170" s="22">
        <f t="shared" si="160"/>
        <v>1506043660</v>
      </c>
      <c r="P170" s="22">
        <f t="shared" si="161"/>
        <v>681004227.48815167</v>
      </c>
      <c r="Q170" s="61">
        <f t="shared" si="162"/>
        <v>712194221.10710907</v>
      </c>
      <c r="R170" s="61">
        <f t="shared" si="163"/>
        <v>6265238.8928909302</v>
      </c>
      <c r="S170" s="61">
        <f t="shared" si="164"/>
        <v>746525308.05687213</v>
      </c>
      <c r="T170" s="61">
        <f t="shared" si="165"/>
        <v>780716167.16587687</v>
      </c>
      <c r="U170" s="61">
        <f t="shared" si="166"/>
        <v>6868032.8341231346</v>
      </c>
      <c r="V170" s="61">
        <f t="shared" si="167"/>
        <v>13133271.727014065</v>
      </c>
      <c r="X170" s="107"/>
      <c r="Y170" s="107"/>
      <c r="Z170" s="108"/>
      <c r="AA170" s="108"/>
    </row>
    <row r="171" spans="2:27" x14ac:dyDescent="0.2">
      <c r="B171" s="30" t="s">
        <v>103</v>
      </c>
      <c r="C171" s="6">
        <v>60</v>
      </c>
      <c r="D171" s="22">
        <v>10734000</v>
      </c>
      <c r="E171" s="32">
        <v>5.5E-2</v>
      </c>
      <c r="F171" s="22">
        <f t="shared" si="158"/>
        <v>11324000</v>
      </c>
      <c r="G171" s="32">
        <v>1.4999999999999999E-2</v>
      </c>
      <c r="H171" s="22">
        <f t="shared" si="159"/>
        <v>11493860</v>
      </c>
      <c r="I171" s="32">
        <v>0.02</v>
      </c>
      <c r="J171" s="22">
        <f t="shared" si="171"/>
        <v>11550480</v>
      </c>
      <c r="K171" s="63">
        <v>19</v>
      </c>
      <c r="L171" s="22">
        <v>202699600</v>
      </c>
      <c r="M171" s="63">
        <v>21</v>
      </c>
      <c r="N171" s="22">
        <v>231009600</v>
      </c>
      <c r="O171" s="22">
        <f t="shared" si="160"/>
        <v>433709200</v>
      </c>
      <c r="P171" s="22">
        <f t="shared" si="161"/>
        <v>192132322.27488154</v>
      </c>
      <c r="Q171" s="61">
        <f t="shared" si="162"/>
        <v>200931982.63507113</v>
      </c>
      <c r="R171" s="61">
        <f t="shared" si="163"/>
        <v>1767617.3649288714</v>
      </c>
      <c r="S171" s="61">
        <f t="shared" si="164"/>
        <v>218966445.49763036</v>
      </c>
      <c r="T171" s="61">
        <f t="shared" si="165"/>
        <v>228995108.70142183</v>
      </c>
      <c r="U171" s="61">
        <f t="shared" si="166"/>
        <v>2014491.2985781729</v>
      </c>
      <c r="V171" s="61">
        <f t="shared" si="167"/>
        <v>3782108.6635070443</v>
      </c>
      <c r="X171" s="107"/>
      <c r="Y171" s="107"/>
      <c r="Z171" s="108"/>
      <c r="AA171" s="108"/>
    </row>
    <row r="172" spans="2:27" x14ac:dyDescent="0.2">
      <c r="B172" s="30" t="s">
        <v>391</v>
      </c>
      <c r="C172" s="6">
        <v>40</v>
      </c>
      <c r="D172" s="22">
        <v>10750000</v>
      </c>
      <c r="E172" s="32">
        <v>5.5E-2</v>
      </c>
      <c r="F172" s="22">
        <f t="shared" ref="F172" si="175">+ROUND((D172*E172)+D172,-3)</f>
        <v>11341000</v>
      </c>
      <c r="G172" s="32">
        <v>1.4999999999999999E-2</v>
      </c>
      <c r="H172" s="22">
        <f t="shared" ref="H172" si="176">+(F172*G172)+F172</f>
        <v>11511115</v>
      </c>
      <c r="I172" s="32">
        <v>0.02</v>
      </c>
      <c r="J172" s="22">
        <f t="shared" ref="J172" si="177">+(F172*I172)+F172</f>
        <v>11567820</v>
      </c>
      <c r="K172" s="63">
        <v>12</v>
      </c>
      <c r="L172" s="22">
        <v>127019200</v>
      </c>
      <c r="M172" s="63">
        <v>12</v>
      </c>
      <c r="N172" s="22">
        <v>127019200</v>
      </c>
      <c r="O172" s="22">
        <f t="shared" si="160"/>
        <v>254038400</v>
      </c>
      <c r="P172" s="22">
        <f t="shared" si="161"/>
        <v>120397345.97156399</v>
      </c>
      <c r="Q172" s="61">
        <f t="shared" si="162"/>
        <v>125911544.41706163</v>
      </c>
      <c r="R172" s="61">
        <f t="shared" si="163"/>
        <v>1107655.5829383731</v>
      </c>
      <c r="S172" s="61">
        <f t="shared" si="164"/>
        <v>120397345.97156399</v>
      </c>
      <c r="T172" s="61">
        <f t="shared" si="165"/>
        <v>125911544.41706163</v>
      </c>
      <c r="U172" s="61">
        <f t="shared" si="166"/>
        <v>1107655.5829383731</v>
      </c>
      <c r="V172" s="61">
        <f t="shared" si="167"/>
        <v>2215311.1658767462</v>
      </c>
      <c r="X172" s="107"/>
      <c r="Y172" s="107"/>
      <c r="Z172" s="108"/>
      <c r="AA172" s="108"/>
    </row>
    <row r="173" spans="2:27" x14ac:dyDescent="0.2">
      <c r="B173" s="30" t="s">
        <v>339</v>
      </c>
      <c r="C173" s="6">
        <v>49</v>
      </c>
      <c r="D173" s="22">
        <v>9748000</v>
      </c>
      <c r="E173" s="32">
        <v>5.5E-2</v>
      </c>
      <c r="F173" s="22">
        <f t="shared" si="158"/>
        <v>10284000</v>
      </c>
      <c r="G173" s="32">
        <v>1.4999999999999999E-2</v>
      </c>
      <c r="H173" s="22">
        <f t="shared" ref="H173:H174" si="178">+(F173*G173)+F173</f>
        <v>10438260</v>
      </c>
      <c r="I173" s="32">
        <v>0.02</v>
      </c>
      <c r="J173" s="22">
        <f t="shared" ref="J173" si="179">+(F173*I173)+F173</f>
        <v>10489680</v>
      </c>
      <c r="K173" s="63">
        <v>51</v>
      </c>
      <c r="L173" s="22">
        <v>501323060</v>
      </c>
      <c r="M173" s="63">
        <v>51</v>
      </c>
      <c r="N173" s="22">
        <v>501859200</v>
      </c>
      <c r="O173" s="22">
        <f t="shared" si="160"/>
        <v>1003182260</v>
      </c>
      <c r="P173" s="22">
        <f t="shared" si="161"/>
        <v>475187734.59715641</v>
      </c>
      <c r="Q173" s="61">
        <f t="shared" si="162"/>
        <v>496951332.84170616</v>
      </c>
      <c r="R173" s="61">
        <f t="shared" si="163"/>
        <v>4371727.1582938433</v>
      </c>
      <c r="S173" s="61">
        <f t="shared" si="164"/>
        <v>475695924.17061615</v>
      </c>
      <c r="T173" s="61">
        <f t="shared" si="165"/>
        <v>497482797.49763036</v>
      </c>
      <c r="U173" s="61">
        <f t="shared" si="166"/>
        <v>4376402.5023696423</v>
      </c>
      <c r="V173" s="61">
        <f t="shared" si="167"/>
        <v>8748129.6606634855</v>
      </c>
      <c r="X173" s="107"/>
      <c r="Y173" s="107"/>
      <c r="Z173" s="108"/>
      <c r="AA173" s="108"/>
    </row>
    <row r="174" spans="2:27" x14ac:dyDescent="0.2">
      <c r="B174" s="30" t="s">
        <v>102</v>
      </c>
      <c r="C174" s="6">
        <v>60</v>
      </c>
      <c r="D174" s="22">
        <v>12176000</v>
      </c>
      <c r="E174" s="32">
        <v>5.5E-2</v>
      </c>
      <c r="F174" s="22">
        <f t="shared" si="158"/>
        <v>12846000</v>
      </c>
      <c r="G174" s="32">
        <v>1.4999999999999999E-2</v>
      </c>
      <c r="H174" s="22">
        <f t="shared" si="178"/>
        <v>13038690</v>
      </c>
      <c r="I174" s="32">
        <v>0.02</v>
      </c>
      <c r="J174" s="22">
        <f>+(F174*I174)+F174</f>
        <v>13102920</v>
      </c>
      <c r="K174" s="63">
        <v>21</v>
      </c>
      <c r="L174" s="22">
        <v>267196800</v>
      </c>
      <c r="M174" s="63">
        <v>21</v>
      </c>
      <c r="N174" s="22">
        <v>267196800</v>
      </c>
      <c r="O174" s="22">
        <f t="shared" si="160"/>
        <v>534393600</v>
      </c>
      <c r="P174" s="22">
        <f t="shared" si="161"/>
        <v>253267109.00473934</v>
      </c>
      <c r="Q174" s="61">
        <f t="shared" si="162"/>
        <v>264866742.59715641</v>
      </c>
      <c r="R174" s="61">
        <f t="shared" si="163"/>
        <v>2330057.4028435946</v>
      </c>
      <c r="S174" s="61">
        <f t="shared" si="164"/>
        <v>253267109.00473934</v>
      </c>
      <c r="T174" s="61">
        <f t="shared" si="165"/>
        <v>264866742.59715641</v>
      </c>
      <c r="U174" s="61">
        <f t="shared" si="166"/>
        <v>2330057.4028435946</v>
      </c>
      <c r="V174" s="61">
        <f t="shared" si="167"/>
        <v>4660114.8056871891</v>
      </c>
      <c r="X174" s="107"/>
      <c r="Y174" s="107"/>
      <c r="Z174" s="108"/>
      <c r="AA174" s="108"/>
    </row>
    <row r="175" spans="2:27" x14ac:dyDescent="0.2">
      <c r="B175" s="33" t="s">
        <v>215</v>
      </c>
      <c r="C175" s="6"/>
      <c r="D175" s="31"/>
      <c r="E175" s="32"/>
      <c r="F175" s="31"/>
      <c r="G175" s="6"/>
      <c r="H175" s="61"/>
      <c r="I175" s="6"/>
      <c r="J175" s="61"/>
      <c r="K175" s="34"/>
      <c r="L175" s="223"/>
      <c r="M175" s="63"/>
      <c r="N175" s="34"/>
      <c r="O175" s="22"/>
      <c r="P175" s="61"/>
      <c r="Q175" s="61"/>
      <c r="R175" s="61"/>
      <c r="S175" s="61"/>
      <c r="T175" s="61"/>
      <c r="U175" s="61"/>
      <c r="V175" s="62"/>
      <c r="X175" s="107"/>
      <c r="Y175" s="107"/>
      <c r="Z175" s="108"/>
      <c r="AA175" s="108"/>
    </row>
    <row r="176" spans="2:27" x14ac:dyDescent="0.2">
      <c r="B176" s="30" t="s">
        <v>186</v>
      </c>
      <c r="C176" s="6">
        <v>30</v>
      </c>
      <c r="D176" s="22">
        <v>8648000</v>
      </c>
      <c r="E176" s="32">
        <v>5.5E-2</v>
      </c>
      <c r="F176" s="22">
        <f t="shared" ref="F176:F183" si="180">+ROUND((D176*E176)+D176,-3)</f>
        <v>9124000</v>
      </c>
      <c r="G176" s="32">
        <v>1.4999999999999999E-2</v>
      </c>
      <c r="H176" s="22">
        <f t="shared" ref="H176:H177" si="181">+(F176*G176)+F176</f>
        <v>9260860</v>
      </c>
      <c r="I176" s="32">
        <v>0.02</v>
      </c>
      <c r="J176" s="22">
        <f t="shared" ref="J176:J177" si="182">+(F176*I176)+F176</f>
        <v>9306480</v>
      </c>
      <c r="K176" s="63">
        <v>24</v>
      </c>
      <c r="L176" s="22">
        <v>209925400</v>
      </c>
      <c r="M176" s="63">
        <v>24</v>
      </c>
      <c r="N176" s="22">
        <v>215326000</v>
      </c>
      <c r="O176" s="22">
        <f t="shared" ref="O176:O183" si="183">L176+N176</f>
        <v>425251400</v>
      </c>
      <c r="P176" s="22">
        <f t="shared" ref="P176:P183" si="184">L176/(1+E176)</f>
        <v>198981421.80094787</v>
      </c>
      <c r="Q176" s="61">
        <f t="shared" ref="Q176:Q183" si="185">(P176*$Q$8)+P176</f>
        <v>208094770.9194313</v>
      </c>
      <c r="R176" s="61">
        <f t="shared" ref="R176:R183" si="186">L176-Q176</f>
        <v>1830629.080568701</v>
      </c>
      <c r="S176" s="61">
        <f t="shared" ref="S176:S183" si="187">N176/(1+E176)</f>
        <v>204100473.9336493</v>
      </c>
      <c r="T176" s="61">
        <f t="shared" ref="T176:T183" si="188">(S176*$T$8)+S176</f>
        <v>213448275.63981044</v>
      </c>
      <c r="U176" s="61">
        <f t="shared" ref="U176:U183" si="189">N176-T176</f>
        <v>1877724.3601895571</v>
      </c>
      <c r="V176" s="61">
        <f t="shared" ref="V176:V183" si="190">R176+U176</f>
        <v>3708353.4407582581</v>
      </c>
      <c r="X176" s="107"/>
      <c r="Y176" s="107"/>
      <c r="Z176" s="108"/>
      <c r="AA176" s="108"/>
    </row>
    <row r="177" spans="2:27" x14ac:dyDescent="0.2">
      <c r="B177" s="30" t="s">
        <v>115</v>
      </c>
      <c r="C177" s="6">
        <v>30</v>
      </c>
      <c r="D177" s="22">
        <v>8648000</v>
      </c>
      <c r="E177" s="32">
        <v>5.5E-2</v>
      </c>
      <c r="F177" s="22">
        <f t="shared" si="180"/>
        <v>9124000</v>
      </c>
      <c r="G177" s="32">
        <v>1.4999999999999999E-2</v>
      </c>
      <c r="H177" s="22">
        <f t="shared" si="181"/>
        <v>9260860</v>
      </c>
      <c r="I177" s="32">
        <v>0.02</v>
      </c>
      <c r="J177" s="22">
        <f t="shared" si="182"/>
        <v>9306480</v>
      </c>
      <c r="K177" s="63">
        <v>8</v>
      </c>
      <c r="L177" s="22">
        <v>67835200</v>
      </c>
      <c r="M177" s="63">
        <v>8</v>
      </c>
      <c r="N177" s="22">
        <v>71167000</v>
      </c>
      <c r="O177" s="22">
        <f t="shared" si="183"/>
        <v>139002200</v>
      </c>
      <c r="P177" s="22">
        <f t="shared" si="184"/>
        <v>64298767.772511855</v>
      </c>
      <c r="Q177" s="61">
        <f t="shared" si="185"/>
        <v>67243651.336492896</v>
      </c>
      <c r="R177" s="61">
        <f t="shared" si="186"/>
        <v>591548.66350710392</v>
      </c>
      <c r="S177" s="61">
        <f t="shared" si="187"/>
        <v>67456872.037914693</v>
      </c>
      <c r="T177" s="61">
        <f t="shared" si="188"/>
        <v>70546396.777251184</v>
      </c>
      <c r="U177" s="61">
        <f t="shared" si="189"/>
        <v>620603.22274881601</v>
      </c>
      <c r="V177" s="61">
        <f t="shared" si="190"/>
        <v>1212151.8862559199</v>
      </c>
      <c r="X177" s="107"/>
      <c r="Y177" s="107"/>
      <c r="Z177" s="108"/>
      <c r="AA177" s="108"/>
    </row>
    <row r="178" spans="2:27" x14ac:dyDescent="0.2">
      <c r="B178" s="30" t="s">
        <v>573</v>
      </c>
      <c r="C178" s="6">
        <v>27</v>
      </c>
      <c r="D178" s="22">
        <v>10294000</v>
      </c>
      <c r="E178" s="32">
        <v>5.5E-2</v>
      </c>
      <c r="F178" s="22">
        <f t="shared" si="180"/>
        <v>10860000</v>
      </c>
      <c r="G178" s="32">
        <v>1.4999999999999999E-2</v>
      </c>
      <c r="H178" s="22">
        <f t="shared" ref="H178:H182" si="191">+(F178*G178)+F178</f>
        <v>11022900</v>
      </c>
      <c r="I178" s="32">
        <v>0.02</v>
      </c>
      <c r="J178" s="22">
        <f t="shared" ref="J178:J182" si="192">+(F178*I178)+F178</f>
        <v>11077200</v>
      </c>
      <c r="K178" s="63">
        <v>29</v>
      </c>
      <c r="L178" s="22">
        <v>310596000</v>
      </c>
      <c r="M178" s="63">
        <v>20</v>
      </c>
      <c r="N178" s="22">
        <v>212856000</v>
      </c>
      <c r="O178" s="22">
        <f t="shared" si="183"/>
        <v>523452000</v>
      </c>
      <c r="P178" s="22">
        <f t="shared" si="184"/>
        <v>294403791.46919435</v>
      </c>
      <c r="Q178" s="61">
        <f t="shared" si="185"/>
        <v>307887485.11848342</v>
      </c>
      <c r="R178" s="61">
        <f t="shared" si="186"/>
        <v>2708514.8815165758</v>
      </c>
      <c r="S178" s="61">
        <f t="shared" si="187"/>
        <v>201759241.70616114</v>
      </c>
      <c r="T178" s="61">
        <f t="shared" si="188"/>
        <v>210999814.97630331</v>
      </c>
      <c r="U178" s="61">
        <f t="shared" si="189"/>
        <v>1856185.0236966908</v>
      </c>
      <c r="V178" s="61">
        <f t="shared" si="190"/>
        <v>4564699.9052132666</v>
      </c>
      <c r="X178" s="107"/>
      <c r="Y178" s="107"/>
      <c r="Z178" s="108"/>
      <c r="AA178" s="108"/>
    </row>
    <row r="179" spans="2:27" x14ac:dyDescent="0.2">
      <c r="B179" s="30" t="s">
        <v>116</v>
      </c>
      <c r="C179" s="6">
        <v>48</v>
      </c>
      <c r="D179" s="22">
        <v>9561000</v>
      </c>
      <c r="E179" s="32">
        <v>5.5E-2</v>
      </c>
      <c r="F179" s="22">
        <f t="shared" si="180"/>
        <v>10087000</v>
      </c>
      <c r="G179" s="32">
        <v>1.4999999999999999E-2</v>
      </c>
      <c r="H179" s="22">
        <f t="shared" si="191"/>
        <v>10238305</v>
      </c>
      <c r="I179" s="32">
        <v>0.02</v>
      </c>
      <c r="J179" s="22">
        <f t="shared" si="192"/>
        <v>10288740</v>
      </c>
      <c r="K179" s="63">
        <v>0</v>
      </c>
      <c r="L179" s="22">
        <v>0</v>
      </c>
      <c r="M179" s="63">
        <v>0</v>
      </c>
      <c r="N179" s="22">
        <v>0</v>
      </c>
      <c r="O179" s="22">
        <f t="shared" si="183"/>
        <v>0</v>
      </c>
      <c r="P179" s="22">
        <f t="shared" si="184"/>
        <v>0</v>
      </c>
      <c r="Q179" s="61">
        <f t="shared" si="185"/>
        <v>0</v>
      </c>
      <c r="R179" s="61">
        <f t="shared" si="186"/>
        <v>0</v>
      </c>
      <c r="S179" s="61">
        <f t="shared" si="187"/>
        <v>0</v>
      </c>
      <c r="T179" s="61">
        <f t="shared" si="188"/>
        <v>0</v>
      </c>
      <c r="U179" s="61">
        <f t="shared" si="189"/>
        <v>0</v>
      </c>
      <c r="V179" s="61">
        <f t="shared" si="190"/>
        <v>0</v>
      </c>
      <c r="X179" s="107"/>
      <c r="Y179" s="107"/>
      <c r="Z179" s="108"/>
      <c r="AA179" s="108"/>
    </row>
    <row r="180" spans="2:27" x14ac:dyDescent="0.2">
      <c r="B180" s="30" t="s">
        <v>330</v>
      </c>
      <c r="C180" s="6">
        <v>43</v>
      </c>
      <c r="D180" s="22">
        <v>9462000</v>
      </c>
      <c r="E180" s="32">
        <v>5.5E-2</v>
      </c>
      <c r="F180" s="22">
        <f t="shared" si="180"/>
        <v>9982000</v>
      </c>
      <c r="G180" s="32">
        <v>1.4999999999999999E-2</v>
      </c>
      <c r="H180" s="22">
        <f t="shared" si="191"/>
        <v>10131730</v>
      </c>
      <c r="I180" s="32">
        <v>0.02</v>
      </c>
      <c r="J180" s="22">
        <f t="shared" si="192"/>
        <v>10181640</v>
      </c>
      <c r="K180" s="63">
        <v>19</v>
      </c>
      <c r="L180" s="22">
        <v>181941600</v>
      </c>
      <c r="M180" s="63">
        <v>19</v>
      </c>
      <c r="N180" s="22">
        <v>187662000</v>
      </c>
      <c r="O180" s="22">
        <f t="shared" si="183"/>
        <v>369603600</v>
      </c>
      <c r="P180" s="22">
        <f t="shared" si="184"/>
        <v>172456492.89099526</v>
      </c>
      <c r="Q180" s="61">
        <f t="shared" si="185"/>
        <v>180355000.26540285</v>
      </c>
      <c r="R180" s="61">
        <f t="shared" si="186"/>
        <v>1586599.7345971465</v>
      </c>
      <c r="S180" s="61">
        <f t="shared" si="187"/>
        <v>177878672.985782</v>
      </c>
      <c r="T180" s="61">
        <f t="shared" si="188"/>
        <v>186025516.20853081</v>
      </c>
      <c r="U180" s="61">
        <f t="shared" si="189"/>
        <v>1636483.7914691865</v>
      </c>
      <c r="V180" s="61">
        <f t="shared" si="190"/>
        <v>3223083.5260663331</v>
      </c>
      <c r="X180" s="107"/>
      <c r="Y180" s="107"/>
      <c r="Z180" s="108"/>
      <c r="AA180" s="108"/>
    </row>
    <row r="181" spans="2:27" x14ac:dyDescent="0.2">
      <c r="B181" s="30" t="s">
        <v>117</v>
      </c>
      <c r="C181" s="6">
        <v>52</v>
      </c>
      <c r="D181" s="22">
        <v>9011000</v>
      </c>
      <c r="E181" s="32">
        <v>5.5E-2</v>
      </c>
      <c r="F181" s="22">
        <f t="shared" si="180"/>
        <v>9507000</v>
      </c>
      <c r="G181" s="32">
        <v>1.4999999999999999E-2</v>
      </c>
      <c r="H181" s="22">
        <f t="shared" si="191"/>
        <v>9649605</v>
      </c>
      <c r="I181" s="32">
        <v>0.02</v>
      </c>
      <c r="J181" s="22">
        <f t="shared" si="192"/>
        <v>9697140</v>
      </c>
      <c r="K181" s="63">
        <v>24</v>
      </c>
      <c r="L181" s="22">
        <v>214858000</v>
      </c>
      <c r="M181" s="63">
        <v>24</v>
      </c>
      <c r="N181" s="22">
        <v>214858000</v>
      </c>
      <c r="O181" s="22">
        <f t="shared" si="183"/>
        <v>429716000</v>
      </c>
      <c r="P181" s="22">
        <f t="shared" si="184"/>
        <v>203656872.03791469</v>
      </c>
      <c r="Q181" s="61">
        <f t="shared" si="185"/>
        <v>212984356.77725118</v>
      </c>
      <c r="R181" s="61">
        <f t="shared" si="186"/>
        <v>1873643.222748816</v>
      </c>
      <c r="S181" s="61">
        <f t="shared" si="187"/>
        <v>203656872.03791469</v>
      </c>
      <c r="T181" s="61">
        <f t="shared" si="188"/>
        <v>212984356.77725118</v>
      </c>
      <c r="U181" s="61">
        <f t="shared" si="189"/>
        <v>1873643.222748816</v>
      </c>
      <c r="V181" s="61">
        <f t="shared" si="190"/>
        <v>3747286.445497632</v>
      </c>
      <c r="X181" s="107"/>
      <c r="Y181" s="107"/>
      <c r="Z181" s="108"/>
      <c r="AA181" s="108"/>
    </row>
    <row r="182" spans="2:27" x14ac:dyDescent="0.2">
      <c r="B182" s="30" t="s">
        <v>118</v>
      </c>
      <c r="C182" s="6">
        <v>52</v>
      </c>
      <c r="D182" s="22">
        <v>8934000</v>
      </c>
      <c r="E182" s="32">
        <v>5.5E-2</v>
      </c>
      <c r="F182" s="22">
        <f t="shared" si="180"/>
        <v>9425000</v>
      </c>
      <c r="G182" s="32">
        <v>1.4999999999999999E-2</v>
      </c>
      <c r="H182" s="22">
        <f t="shared" si="191"/>
        <v>9566375</v>
      </c>
      <c r="I182" s="32">
        <v>0.02</v>
      </c>
      <c r="J182" s="22">
        <f t="shared" si="192"/>
        <v>9613500</v>
      </c>
      <c r="K182" s="63">
        <v>33</v>
      </c>
      <c r="L182" s="22">
        <v>300911500</v>
      </c>
      <c r="M182" s="63">
        <v>32</v>
      </c>
      <c r="N182" s="22">
        <v>296887000</v>
      </c>
      <c r="O182" s="22">
        <f t="shared" si="183"/>
        <v>597798500</v>
      </c>
      <c r="P182" s="22">
        <f t="shared" si="184"/>
        <v>285224170.61611378</v>
      </c>
      <c r="Q182" s="61">
        <f t="shared" si="185"/>
        <v>298287437.63033181</v>
      </c>
      <c r="R182" s="61">
        <f t="shared" si="186"/>
        <v>2624062.3696681857</v>
      </c>
      <c r="S182" s="61">
        <f t="shared" si="187"/>
        <v>281409478.67298579</v>
      </c>
      <c r="T182" s="61">
        <f t="shared" si="188"/>
        <v>294298032.79620856</v>
      </c>
      <c r="U182" s="61">
        <f t="shared" si="189"/>
        <v>2588967.2037914395</v>
      </c>
      <c r="V182" s="61">
        <f t="shared" si="190"/>
        <v>5213029.5734596252</v>
      </c>
      <c r="X182" s="107"/>
      <c r="Y182" s="107"/>
      <c r="Z182" s="108"/>
      <c r="AA182" s="108"/>
    </row>
    <row r="183" spans="2:27" x14ac:dyDescent="0.2">
      <c r="B183" s="225" t="s">
        <v>187</v>
      </c>
      <c r="C183" s="6">
        <v>56</v>
      </c>
      <c r="D183" s="22">
        <v>12147000</v>
      </c>
      <c r="E183" s="32">
        <v>5.5E-2</v>
      </c>
      <c r="F183" s="22">
        <f t="shared" si="180"/>
        <v>12815000</v>
      </c>
      <c r="G183" s="32">
        <v>1.4999999999999999E-2</v>
      </c>
      <c r="H183" s="22">
        <f t="shared" ref="H183" si="193">+(F183*G183)+F183</f>
        <v>13007225</v>
      </c>
      <c r="I183" s="32">
        <v>0.02</v>
      </c>
      <c r="J183" s="22">
        <f t="shared" ref="J183" si="194">+(F183*I183)+F183</f>
        <v>13071300</v>
      </c>
      <c r="K183" s="63">
        <v>18</v>
      </c>
      <c r="L183" s="22">
        <v>199914000</v>
      </c>
      <c r="M183" s="63">
        <v>19</v>
      </c>
      <c r="N183" s="22">
        <v>203758000</v>
      </c>
      <c r="O183" s="22">
        <f t="shared" si="183"/>
        <v>403672000</v>
      </c>
      <c r="P183" s="22">
        <f t="shared" si="184"/>
        <v>189491943.12796208</v>
      </c>
      <c r="Q183" s="61">
        <f t="shared" si="185"/>
        <v>198170674.12322274</v>
      </c>
      <c r="R183" s="61">
        <f t="shared" si="186"/>
        <v>1743325.8767772615</v>
      </c>
      <c r="S183" s="61">
        <f t="shared" si="187"/>
        <v>193135545.02369669</v>
      </c>
      <c r="T183" s="61">
        <f t="shared" si="188"/>
        <v>201981152.985782</v>
      </c>
      <c r="U183" s="61">
        <f t="shared" si="189"/>
        <v>1776847.0142180026</v>
      </c>
      <c r="V183" s="61">
        <f t="shared" si="190"/>
        <v>3520172.8909952641</v>
      </c>
      <c r="X183" s="107"/>
      <c r="Y183" s="107"/>
      <c r="Z183" s="108"/>
      <c r="AA183" s="108"/>
    </row>
    <row r="184" spans="2:27" x14ac:dyDescent="0.2">
      <c r="B184" s="33" t="s">
        <v>216</v>
      </c>
      <c r="C184" s="6"/>
      <c r="D184" s="31"/>
      <c r="E184" s="32"/>
      <c r="F184" s="31"/>
      <c r="G184" s="6"/>
      <c r="H184" s="61"/>
      <c r="I184" s="6"/>
      <c r="J184" s="61"/>
      <c r="K184" s="34"/>
      <c r="L184" s="223"/>
      <c r="M184" s="63"/>
      <c r="N184" s="34"/>
      <c r="O184" s="22"/>
      <c r="P184" s="61"/>
      <c r="Q184" s="61"/>
      <c r="R184" s="61"/>
      <c r="S184" s="61"/>
      <c r="T184" s="61"/>
      <c r="U184" s="61"/>
      <c r="V184" s="62"/>
      <c r="X184" s="107"/>
      <c r="Y184" s="107"/>
      <c r="Z184" s="108"/>
      <c r="AA184" s="108"/>
    </row>
    <row r="185" spans="2:27" x14ac:dyDescent="0.2">
      <c r="B185" s="30" t="s">
        <v>120</v>
      </c>
      <c r="C185" s="6">
        <v>50</v>
      </c>
      <c r="D185" s="22">
        <v>11229000</v>
      </c>
      <c r="E185" s="32">
        <v>5.5E-2</v>
      </c>
      <c r="F185" s="22">
        <f t="shared" ref="F185:F186" si="195">+ROUND((D185*E185)+D185,-3)</f>
        <v>11847000</v>
      </c>
      <c r="G185" s="32">
        <v>1.4999999999999999E-2</v>
      </c>
      <c r="H185" s="22">
        <f>+(F185*G185)+F185</f>
        <v>12024705</v>
      </c>
      <c r="I185" s="32">
        <v>0.02</v>
      </c>
      <c r="J185" s="22">
        <f>+(F185*I185)+F185</f>
        <v>12083940</v>
      </c>
      <c r="K185" s="63">
        <v>17</v>
      </c>
      <c r="L185" s="22">
        <v>169399000</v>
      </c>
      <c r="M185" s="63">
        <v>22</v>
      </c>
      <c r="N185" s="22">
        <v>221734000</v>
      </c>
      <c r="O185" s="22">
        <f>L185+N185</f>
        <v>391133000</v>
      </c>
      <c r="P185" s="22">
        <f>L185/(1+E185)</f>
        <v>160567772.51184836</v>
      </c>
      <c r="Q185" s="61">
        <f>(P185*$Q$8)+P185</f>
        <v>167921776.49289101</v>
      </c>
      <c r="R185" s="61">
        <f>L185-Q185</f>
        <v>1477223.5071089864</v>
      </c>
      <c r="S185" s="61">
        <f>N185/(1+E185)</f>
        <v>210174407.5829384</v>
      </c>
      <c r="T185" s="61">
        <f t="shared" ref="T185:T186" si="196">(S185*$T$8)+S185</f>
        <v>219800395.45023698</v>
      </c>
      <c r="U185" s="61">
        <f>N185-T185</f>
        <v>1933604.5497630239</v>
      </c>
      <c r="V185" s="61">
        <f t="shared" ref="V185:V186" si="197">R185+U185</f>
        <v>3410828.0568720102</v>
      </c>
      <c r="X185" s="107"/>
      <c r="Y185" s="107"/>
      <c r="Z185" s="108"/>
      <c r="AA185" s="108"/>
    </row>
    <row r="186" spans="2:27" x14ac:dyDescent="0.2">
      <c r="B186" s="30" t="s">
        <v>119</v>
      </c>
      <c r="C186" s="6">
        <v>48</v>
      </c>
      <c r="D186" s="22">
        <v>11082000</v>
      </c>
      <c r="E186" s="32">
        <v>5.5E-2</v>
      </c>
      <c r="F186" s="22">
        <f t="shared" si="195"/>
        <v>11692000</v>
      </c>
      <c r="G186" s="32">
        <v>1.4999999999999999E-2</v>
      </c>
      <c r="H186" s="22">
        <f>+(F186*G186)+F186</f>
        <v>11867380</v>
      </c>
      <c r="I186" s="32">
        <v>0.02</v>
      </c>
      <c r="J186" s="22">
        <f>+(F186*I186)+F186</f>
        <v>11925840</v>
      </c>
      <c r="K186" s="63">
        <v>33</v>
      </c>
      <c r="L186" s="22">
        <v>334836000</v>
      </c>
      <c r="M186" s="63">
        <v>33</v>
      </c>
      <c r="N186" s="22">
        <v>328836000</v>
      </c>
      <c r="O186" s="22">
        <f>L186+N186</f>
        <v>663672000</v>
      </c>
      <c r="P186" s="22">
        <f>L186/(1+E186)</f>
        <v>317380094.78672987</v>
      </c>
      <c r="Q186" s="61">
        <f>(P186*$Q$8)+P186</f>
        <v>331916103.12796211</v>
      </c>
      <c r="R186" s="61">
        <f>L186-Q186</f>
        <v>2919896.8720378876</v>
      </c>
      <c r="S186" s="61">
        <f>N186/(1+E186)</f>
        <v>311692890.99526066</v>
      </c>
      <c r="T186" s="61">
        <f t="shared" si="196"/>
        <v>325968425.40284359</v>
      </c>
      <c r="U186" s="61">
        <f>N186-T186</f>
        <v>2867574.5971564054</v>
      </c>
      <c r="V186" s="61">
        <f t="shared" si="197"/>
        <v>5787471.469194293</v>
      </c>
      <c r="X186" s="107"/>
      <c r="Y186" s="107"/>
      <c r="Z186" s="108"/>
      <c r="AA186" s="108"/>
    </row>
    <row r="187" spans="2:27" x14ac:dyDescent="0.2">
      <c r="B187" s="33" t="s">
        <v>217</v>
      </c>
      <c r="C187" s="6"/>
      <c r="D187" s="31"/>
      <c r="E187" s="32"/>
      <c r="F187" s="31"/>
      <c r="G187" s="6"/>
      <c r="H187" s="61"/>
      <c r="I187" s="6"/>
      <c r="J187" s="61"/>
      <c r="K187" s="34"/>
      <c r="L187" s="223"/>
      <c r="M187" s="63"/>
      <c r="N187" s="34"/>
      <c r="O187" s="22"/>
      <c r="P187" s="61"/>
      <c r="Q187" s="61"/>
      <c r="R187" s="61"/>
      <c r="S187" s="61"/>
      <c r="T187" s="61"/>
      <c r="U187" s="61"/>
      <c r="V187" s="62"/>
      <c r="X187" s="107"/>
      <c r="Y187" s="107"/>
      <c r="Z187" s="108"/>
      <c r="AA187" s="108"/>
    </row>
    <row r="188" spans="2:27" x14ac:dyDescent="0.2">
      <c r="B188" s="30" t="s">
        <v>124</v>
      </c>
      <c r="C188" s="6">
        <v>103</v>
      </c>
      <c r="D188" s="22">
        <v>15878000</v>
      </c>
      <c r="E188" s="32">
        <v>5.5E-2</v>
      </c>
      <c r="F188" s="22">
        <f t="shared" ref="F188:F195" si="198">+ROUND((D188*E188)+D188,-3)</f>
        <v>16751000</v>
      </c>
      <c r="G188" s="32">
        <v>1.4999999999999999E-2</v>
      </c>
      <c r="H188" s="22">
        <f t="shared" ref="H188:H195" si="199">+(F188*G188)+F188</f>
        <v>17002265</v>
      </c>
      <c r="I188" s="32">
        <v>0.02</v>
      </c>
      <c r="J188" s="22">
        <f>+(F188*I188)+F188</f>
        <v>17086020</v>
      </c>
      <c r="K188" s="63">
        <v>16</v>
      </c>
      <c r="L188" s="22">
        <v>159966210</v>
      </c>
      <c r="M188" s="63">
        <v>16</v>
      </c>
      <c r="N188" s="22">
        <v>173462510</v>
      </c>
      <c r="O188" s="22">
        <f t="shared" ref="O188:O195" si="200">L188+N188</f>
        <v>333428720</v>
      </c>
      <c r="P188" s="22">
        <f t="shared" ref="P188:P195" si="201">L188/(1+E188)</f>
        <v>151626739.3364929</v>
      </c>
      <c r="Q188" s="61">
        <f t="shared" ref="Q188:Q195" si="202">(P188*$Q$8)+P188</f>
        <v>158571243.99810427</v>
      </c>
      <c r="R188" s="61">
        <f t="shared" ref="R188:R195" si="203">L188-Q188</f>
        <v>1394966.0018957257</v>
      </c>
      <c r="S188" s="61">
        <f t="shared" ref="S188:S195" si="204">N188/(1+E188)</f>
        <v>164419440.75829384</v>
      </c>
      <c r="T188" s="61">
        <f t="shared" ref="T188:T195" si="205">(S188*$T$8)+S188</f>
        <v>171949851.1450237</v>
      </c>
      <c r="U188" s="61">
        <f t="shared" ref="U188:U195" si="206">N188-T188</f>
        <v>1512658.8549762964</v>
      </c>
      <c r="V188" s="61">
        <f t="shared" ref="V188:V195" si="207">R188+U188</f>
        <v>2907624.8568720222</v>
      </c>
      <c r="X188" s="107"/>
      <c r="Y188" s="107"/>
      <c r="Z188" s="108"/>
      <c r="AA188" s="108"/>
    </row>
    <row r="189" spans="2:27" x14ac:dyDescent="0.2">
      <c r="B189" s="30" t="s">
        <v>123</v>
      </c>
      <c r="C189" s="6">
        <v>45</v>
      </c>
      <c r="D189" s="22">
        <v>8831000</v>
      </c>
      <c r="E189" s="32">
        <v>5.5E-2</v>
      </c>
      <c r="F189" s="22">
        <f t="shared" si="198"/>
        <v>9317000</v>
      </c>
      <c r="G189" s="32">
        <v>1.4999999999999999E-2</v>
      </c>
      <c r="H189" s="22">
        <f t="shared" si="199"/>
        <v>9456755</v>
      </c>
      <c r="I189" s="32">
        <v>0.02</v>
      </c>
      <c r="J189" s="22">
        <f t="shared" ref="J189:J194" si="208">+(F189*I189)+F189</f>
        <v>9503340</v>
      </c>
      <c r="K189" s="63">
        <v>33</v>
      </c>
      <c r="L189" s="22">
        <v>265425440</v>
      </c>
      <c r="M189" s="63">
        <v>33</v>
      </c>
      <c r="N189" s="22">
        <v>297305350</v>
      </c>
      <c r="O189" s="22">
        <f t="shared" si="200"/>
        <v>562730790</v>
      </c>
      <c r="P189" s="22">
        <f t="shared" si="201"/>
        <v>251588094.78672987</v>
      </c>
      <c r="Q189" s="61">
        <f t="shared" si="202"/>
        <v>263110829.52796209</v>
      </c>
      <c r="R189" s="61">
        <f t="shared" si="203"/>
        <v>2314610.4720379114</v>
      </c>
      <c r="S189" s="61">
        <f t="shared" si="204"/>
        <v>281806018.95734596</v>
      </c>
      <c r="T189" s="61">
        <f t="shared" si="205"/>
        <v>294712734.62559241</v>
      </c>
      <c r="U189" s="61">
        <f t="shared" si="206"/>
        <v>2592615.3744075894</v>
      </c>
      <c r="V189" s="61">
        <f t="shared" si="207"/>
        <v>4907225.8464455009</v>
      </c>
      <c r="X189" s="107"/>
      <c r="Y189" s="107"/>
      <c r="Z189" s="108"/>
      <c r="AA189" s="108"/>
    </row>
    <row r="190" spans="2:27" x14ac:dyDescent="0.2">
      <c r="B190" s="30" t="s">
        <v>122</v>
      </c>
      <c r="C190" s="6">
        <v>44</v>
      </c>
      <c r="D190" s="22">
        <v>9594000</v>
      </c>
      <c r="E190" s="32">
        <v>5.5E-2</v>
      </c>
      <c r="F190" s="22">
        <f t="shared" si="198"/>
        <v>10122000</v>
      </c>
      <c r="G190" s="32">
        <v>1.4999999999999999E-2</v>
      </c>
      <c r="H190" s="22">
        <f t="shared" si="199"/>
        <v>10273830</v>
      </c>
      <c r="I190" s="32">
        <v>0.02</v>
      </c>
      <c r="J190" s="22">
        <f t="shared" si="208"/>
        <v>10324440</v>
      </c>
      <c r="K190" s="63">
        <v>16</v>
      </c>
      <c r="L190" s="22">
        <v>111103800</v>
      </c>
      <c r="M190" s="63">
        <v>16</v>
      </c>
      <c r="N190" s="22">
        <v>146121900</v>
      </c>
      <c r="O190" s="22">
        <f t="shared" si="200"/>
        <v>257225700</v>
      </c>
      <c r="P190" s="22">
        <f t="shared" si="201"/>
        <v>105311658.76777251</v>
      </c>
      <c r="Q190" s="61">
        <f t="shared" si="202"/>
        <v>110134932.73933649</v>
      </c>
      <c r="R190" s="61">
        <f t="shared" si="203"/>
        <v>968867.26066350937</v>
      </c>
      <c r="S190" s="61">
        <f t="shared" si="204"/>
        <v>138504170.61611375</v>
      </c>
      <c r="T190" s="61">
        <f t="shared" si="205"/>
        <v>144847661.63033175</v>
      </c>
      <c r="U190" s="61">
        <f t="shared" si="206"/>
        <v>1274238.3696682453</v>
      </c>
      <c r="V190" s="61">
        <f t="shared" si="207"/>
        <v>2243105.6303317547</v>
      </c>
      <c r="X190" s="107"/>
      <c r="Y190" s="107"/>
      <c r="Z190" s="108"/>
      <c r="AA190" s="108"/>
    </row>
    <row r="191" spans="2:27" x14ac:dyDescent="0.2">
      <c r="B191" s="30" t="s">
        <v>121</v>
      </c>
      <c r="C191" s="6">
        <v>55</v>
      </c>
      <c r="D191" s="22">
        <v>9594000</v>
      </c>
      <c r="E191" s="32">
        <v>5.5E-2</v>
      </c>
      <c r="F191" s="22">
        <f t="shared" si="198"/>
        <v>10122000</v>
      </c>
      <c r="G191" s="32">
        <v>1.4999999999999999E-2</v>
      </c>
      <c r="H191" s="22">
        <f t="shared" si="199"/>
        <v>10273830</v>
      </c>
      <c r="I191" s="32">
        <v>0.02</v>
      </c>
      <c r="J191" s="22">
        <f t="shared" si="208"/>
        <v>10324440</v>
      </c>
      <c r="K191" s="63">
        <v>23</v>
      </c>
      <c r="L191" s="22">
        <v>181930800</v>
      </c>
      <c r="M191" s="63">
        <v>23</v>
      </c>
      <c r="N191" s="22">
        <v>181957800</v>
      </c>
      <c r="O191" s="22">
        <f t="shared" si="200"/>
        <v>363888600</v>
      </c>
      <c r="P191" s="22">
        <f t="shared" si="201"/>
        <v>172446255.92417061</v>
      </c>
      <c r="Q191" s="61">
        <f t="shared" si="202"/>
        <v>180344294.44549763</v>
      </c>
      <c r="R191" s="61">
        <f t="shared" si="203"/>
        <v>1586505.554502368</v>
      </c>
      <c r="S191" s="61">
        <f t="shared" si="204"/>
        <v>172471848.34123224</v>
      </c>
      <c r="T191" s="61">
        <f t="shared" si="205"/>
        <v>180371058.99526069</v>
      </c>
      <c r="U191" s="61">
        <f t="shared" si="206"/>
        <v>1586741.0047393143</v>
      </c>
      <c r="V191" s="61">
        <f t="shared" si="207"/>
        <v>3173246.5592416823</v>
      </c>
      <c r="X191" s="107"/>
      <c r="Y191" s="107"/>
      <c r="Z191" s="108"/>
      <c r="AA191" s="108"/>
    </row>
    <row r="192" spans="2:27" x14ac:dyDescent="0.2">
      <c r="B192" s="30" t="s">
        <v>361</v>
      </c>
      <c r="C192" s="6">
        <v>42</v>
      </c>
      <c r="D192" s="22">
        <v>5513000</v>
      </c>
      <c r="E192" s="32">
        <v>5.5E-2</v>
      </c>
      <c r="F192" s="22">
        <f t="shared" si="198"/>
        <v>5816000</v>
      </c>
      <c r="G192" s="32">
        <v>1.4999999999999999E-2</v>
      </c>
      <c r="H192" s="22">
        <f t="shared" si="199"/>
        <v>5903240</v>
      </c>
      <c r="I192" s="32">
        <v>0.02</v>
      </c>
      <c r="J192" s="22">
        <f t="shared" si="208"/>
        <v>5932320</v>
      </c>
      <c r="K192" s="63">
        <v>0</v>
      </c>
      <c r="L192" s="22">
        <v>0</v>
      </c>
      <c r="M192" s="63">
        <v>21</v>
      </c>
      <c r="N192" s="22">
        <v>113667700</v>
      </c>
      <c r="O192" s="22">
        <f t="shared" si="200"/>
        <v>113667700</v>
      </c>
      <c r="P192" s="22">
        <f t="shared" si="201"/>
        <v>0</v>
      </c>
      <c r="Q192" s="61">
        <f t="shared" si="202"/>
        <v>0</v>
      </c>
      <c r="R192" s="61">
        <f t="shared" si="203"/>
        <v>0</v>
      </c>
      <c r="S192" s="61">
        <f t="shared" si="204"/>
        <v>107741895.73459716</v>
      </c>
      <c r="T192" s="61">
        <f t="shared" si="205"/>
        <v>112676474.55924171</v>
      </c>
      <c r="U192" s="61">
        <f t="shared" si="206"/>
        <v>991225.44075828791</v>
      </c>
      <c r="V192" s="61">
        <f t="shared" si="207"/>
        <v>991225.44075828791</v>
      </c>
      <c r="X192" s="107"/>
      <c r="Y192" s="107"/>
      <c r="Z192" s="108"/>
      <c r="AA192" s="108"/>
    </row>
    <row r="193" spans="2:27" x14ac:dyDescent="0.2">
      <c r="B193" s="30" t="s">
        <v>362</v>
      </c>
      <c r="C193" s="6">
        <v>42</v>
      </c>
      <c r="D193" s="22">
        <v>5250000</v>
      </c>
      <c r="E193" s="32">
        <v>5.5E-2</v>
      </c>
      <c r="F193" s="22">
        <f t="shared" si="198"/>
        <v>5539000</v>
      </c>
      <c r="G193" s="32">
        <v>1.4999999999999999E-2</v>
      </c>
      <c r="H193" s="22">
        <f t="shared" si="199"/>
        <v>5622085</v>
      </c>
      <c r="I193" s="32">
        <v>0.02</v>
      </c>
      <c r="J193" s="22">
        <f t="shared" si="208"/>
        <v>5649780</v>
      </c>
      <c r="K193" s="63">
        <v>15</v>
      </c>
      <c r="L193" s="22">
        <v>83085000</v>
      </c>
      <c r="M193" s="63">
        <v>15</v>
      </c>
      <c r="N193" s="22">
        <v>80433700</v>
      </c>
      <c r="O193" s="22">
        <f t="shared" si="200"/>
        <v>163518700</v>
      </c>
      <c r="P193" s="22">
        <f t="shared" si="201"/>
        <v>78753554.502369672</v>
      </c>
      <c r="Q193" s="61">
        <f t="shared" si="202"/>
        <v>82360467.298578203</v>
      </c>
      <c r="R193" s="61">
        <f t="shared" si="203"/>
        <v>724532.70142179728</v>
      </c>
      <c r="S193" s="61">
        <f t="shared" si="204"/>
        <v>76240473.933649287</v>
      </c>
      <c r="T193" s="61">
        <f t="shared" si="205"/>
        <v>79732287.639810428</v>
      </c>
      <c r="U193" s="61">
        <f t="shared" si="206"/>
        <v>701412.36018957198</v>
      </c>
      <c r="V193" s="61">
        <f t="shared" si="207"/>
        <v>1425945.0616113693</v>
      </c>
      <c r="X193" s="107"/>
      <c r="Y193" s="107"/>
      <c r="Z193" s="108"/>
      <c r="AA193" s="108"/>
    </row>
    <row r="194" spans="2:27" x14ac:dyDescent="0.2">
      <c r="B194" s="30" t="s">
        <v>363</v>
      </c>
      <c r="C194" s="6">
        <v>40</v>
      </c>
      <c r="D194" s="22">
        <v>4725000</v>
      </c>
      <c r="E194" s="32">
        <v>5.5E-2</v>
      </c>
      <c r="F194" s="22">
        <f t="shared" si="198"/>
        <v>4985000</v>
      </c>
      <c r="G194" s="32">
        <v>1.4999999999999999E-2</v>
      </c>
      <c r="H194" s="22">
        <f t="shared" si="199"/>
        <v>5059775</v>
      </c>
      <c r="I194" s="32">
        <v>0.02</v>
      </c>
      <c r="J194" s="22">
        <f t="shared" si="208"/>
        <v>5084700</v>
      </c>
      <c r="K194" s="63">
        <v>145</v>
      </c>
      <c r="L194" s="22">
        <v>665770625</v>
      </c>
      <c r="M194" s="63">
        <v>145</v>
      </c>
      <c r="N194" s="22">
        <v>678551750</v>
      </c>
      <c r="O194" s="22">
        <f t="shared" si="200"/>
        <v>1344322375</v>
      </c>
      <c r="P194" s="22">
        <f t="shared" si="201"/>
        <v>631062203.79146922</v>
      </c>
      <c r="Q194" s="61">
        <f t="shared" si="202"/>
        <v>659964852.72511852</v>
      </c>
      <c r="R194" s="61">
        <f t="shared" si="203"/>
        <v>5805772.2748814821</v>
      </c>
      <c r="S194" s="61">
        <f t="shared" si="204"/>
        <v>643177014.21800947</v>
      </c>
      <c r="T194" s="61">
        <f t="shared" si="205"/>
        <v>672634521.46919429</v>
      </c>
      <c r="U194" s="61">
        <f t="shared" si="206"/>
        <v>5917228.530805707</v>
      </c>
      <c r="V194" s="61">
        <f t="shared" si="207"/>
        <v>11723000.805687189</v>
      </c>
      <c r="X194" s="107"/>
      <c r="Y194" s="107"/>
      <c r="Z194" s="108"/>
      <c r="AA194" s="108"/>
    </row>
    <row r="195" spans="2:27" ht="11.25" customHeight="1" x14ac:dyDescent="0.2">
      <c r="B195" s="30" t="s">
        <v>340</v>
      </c>
      <c r="C195" s="6">
        <v>24</v>
      </c>
      <c r="D195" s="22">
        <v>6569000</v>
      </c>
      <c r="E195" s="32">
        <v>5.5E-2</v>
      </c>
      <c r="F195" s="22">
        <f t="shared" si="198"/>
        <v>6930000</v>
      </c>
      <c r="G195" s="32">
        <v>1.4999999999999999E-2</v>
      </c>
      <c r="H195" s="22">
        <f t="shared" si="199"/>
        <v>7033950</v>
      </c>
      <c r="I195" s="32">
        <v>0.02</v>
      </c>
      <c r="J195" s="22">
        <f>+(F195*I195)+F195</f>
        <v>7068600</v>
      </c>
      <c r="K195" s="63">
        <v>32</v>
      </c>
      <c r="L195" s="22">
        <v>209935800</v>
      </c>
      <c r="M195" s="63">
        <v>41</v>
      </c>
      <c r="N195" s="22">
        <v>274604950</v>
      </c>
      <c r="O195" s="22">
        <f t="shared" si="200"/>
        <v>484540750</v>
      </c>
      <c r="P195" s="22">
        <f t="shared" si="201"/>
        <v>198991279.6208531</v>
      </c>
      <c r="Q195" s="61">
        <f t="shared" si="202"/>
        <v>208105080.22748816</v>
      </c>
      <c r="R195" s="61">
        <f t="shared" si="203"/>
        <v>1830719.7725118399</v>
      </c>
      <c r="S195" s="61">
        <f t="shared" si="204"/>
        <v>260289052.13270143</v>
      </c>
      <c r="T195" s="61">
        <f t="shared" si="205"/>
        <v>272210290.72037917</v>
      </c>
      <c r="U195" s="61">
        <f t="shared" si="206"/>
        <v>2394659.2796208262</v>
      </c>
      <c r="V195" s="61">
        <f t="shared" si="207"/>
        <v>4225379.0521326661</v>
      </c>
      <c r="X195" s="107"/>
      <c r="Y195" s="107"/>
      <c r="Z195" s="108"/>
      <c r="AA195" s="108"/>
    </row>
    <row r="196" spans="2:27" x14ac:dyDescent="0.2">
      <c r="B196" s="33" t="s">
        <v>218</v>
      </c>
      <c r="C196" s="6"/>
      <c r="D196" s="31"/>
      <c r="E196" s="32"/>
      <c r="F196" s="31"/>
      <c r="G196" s="6"/>
      <c r="H196" s="61"/>
      <c r="I196" s="6"/>
      <c r="J196" s="61"/>
      <c r="K196" s="34"/>
      <c r="L196" s="223"/>
      <c r="M196" s="63"/>
      <c r="N196" s="34"/>
      <c r="O196" s="22"/>
      <c r="P196" s="61"/>
      <c r="Q196" s="61"/>
      <c r="R196" s="61"/>
      <c r="S196" s="61"/>
      <c r="T196" s="61"/>
      <c r="U196" s="61"/>
      <c r="V196" s="62"/>
      <c r="X196" s="107"/>
      <c r="Y196" s="107"/>
      <c r="Z196" s="108"/>
      <c r="AA196" s="108"/>
    </row>
    <row r="197" spans="2:27" x14ac:dyDescent="0.2">
      <c r="B197" s="30" t="s">
        <v>125</v>
      </c>
      <c r="C197" s="6">
        <v>40</v>
      </c>
      <c r="D197" s="22">
        <v>8186000</v>
      </c>
      <c r="E197" s="32">
        <v>5.5E-2</v>
      </c>
      <c r="F197" s="22">
        <f t="shared" ref="F197:F200" si="209">+ROUND((D197*E197)+D197,-3)</f>
        <v>8636000</v>
      </c>
      <c r="G197" s="32">
        <v>1.4999999999999999E-2</v>
      </c>
      <c r="H197" s="22">
        <f t="shared" ref="H197:H200" si="210">+(F197*G197)+F197</f>
        <v>8765540</v>
      </c>
      <c r="I197" s="32">
        <v>0.02</v>
      </c>
      <c r="J197" s="22">
        <f t="shared" ref="J197:J200" si="211">+(F197*I197)+F197</f>
        <v>8808720</v>
      </c>
      <c r="K197" s="63">
        <v>37</v>
      </c>
      <c r="L197" s="22">
        <v>262534400</v>
      </c>
      <c r="M197" s="63">
        <v>32</v>
      </c>
      <c r="N197" s="22">
        <v>218490800</v>
      </c>
      <c r="O197" s="22">
        <f>L197+N197</f>
        <v>481025200</v>
      </c>
      <c r="P197" s="22">
        <f>L197/(1+E197)</f>
        <v>248847772.51184836</v>
      </c>
      <c r="Q197" s="61">
        <f>(P197*$Q$8)+P197</f>
        <v>260245000.49289101</v>
      </c>
      <c r="R197" s="61">
        <f>L197-Q197</f>
        <v>2289399.5071089864</v>
      </c>
      <c r="S197" s="61">
        <f>N197/(1+E197)</f>
        <v>207100284.36018959</v>
      </c>
      <c r="T197" s="61">
        <f t="shared" ref="T197:T200" si="212">(S197*$T$8)+S197</f>
        <v>216585477.38388628</v>
      </c>
      <c r="U197" s="61">
        <f>N197-T197</f>
        <v>1905322.6161137223</v>
      </c>
      <c r="V197" s="61">
        <f t="shared" ref="V197:V200" si="213">R197+U197</f>
        <v>4194722.1232227087</v>
      </c>
      <c r="X197" s="107"/>
      <c r="Y197" s="107"/>
      <c r="Z197" s="108"/>
      <c r="AA197" s="108"/>
    </row>
    <row r="198" spans="2:27" x14ac:dyDescent="0.2">
      <c r="B198" s="30" t="s">
        <v>85</v>
      </c>
      <c r="C198" s="6">
        <v>40</v>
      </c>
      <c r="D198" s="22">
        <v>8086000</v>
      </c>
      <c r="E198" s="32">
        <v>5.5E-2</v>
      </c>
      <c r="F198" s="22">
        <f>+ROUND((D198*E198)+D198,-3)</f>
        <v>8531000</v>
      </c>
      <c r="G198" s="32">
        <v>1.4999999999999999E-2</v>
      </c>
      <c r="H198" s="22">
        <f t="shared" si="210"/>
        <v>8658965</v>
      </c>
      <c r="I198" s="32">
        <v>0.02</v>
      </c>
      <c r="J198" s="22">
        <f t="shared" si="211"/>
        <v>8701620</v>
      </c>
      <c r="K198" s="63">
        <v>35</v>
      </c>
      <c r="L198" s="22">
        <v>255930000</v>
      </c>
      <c r="M198" s="63">
        <v>34</v>
      </c>
      <c r="N198" s="22">
        <v>247399000</v>
      </c>
      <c r="O198" s="22">
        <f>L198+N198</f>
        <v>503329000</v>
      </c>
      <c r="P198" s="22">
        <f>L198/(1+E198)</f>
        <v>242587677.72511849</v>
      </c>
      <c r="Q198" s="61">
        <f>(P198*$Q$8)+P198</f>
        <v>253698193.3649289</v>
      </c>
      <c r="R198" s="61">
        <f>L198-Q198</f>
        <v>2231806.6350710988</v>
      </c>
      <c r="S198" s="61">
        <f>N198/(1+E198)</f>
        <v>234501421.80094787</v>
      </c>
      <c r="T198" s="61">
        <f t="shared" si="212"/>
        <v>245241586.9194313</v>
      </c>
      <c r="U198" s="61">
        <f>N198-T198</f>
        <v>2157413.080568701</v>
      </c>
      <c r="V198" s="61">
        <f t="shared" si="213"/>
        <v>4389219.7156397998</v>
      </c>
      <c r="X198" s="107"/>
      <c r="Y198" s="107"/>
      <c r="Z198" s="108"/>
      <c r="AA198" s="108"/>
    </row>
    <row r="199" spans="2:27" x14ac:dyDescent="0.2">
      <c r="B199" s="30" t="s">
        <v>393</v>
      </c>
      <c r="C199" s="6">
        <v>102</v>
      </c>
      <c r="D199" s="22">
        <v>10000000</v>
      </c>
      <c r="E199" s="32">
        <v>5.5E-2</v>
      </c>
      <c r="F199" s="22">
        <f t="shared" ref="F199" si="214">+ROUND((D199*E199)+D199,-3)</f>
        <v>10550000</v>
      </c>
      <c r="G199" s="32">
        <v>1.4999999999999999E-2</v>
      </c>
      <c r="H199" s="22">
        <f t="shared" ref="H199" si="215">+(F199*G199)+F199</f>
        <v>10708250</v>
      </c>
      <c r="I199" s="32">
        <v>0.02</v>
      </c>
      <c r="J199" s="22">
        <f t="shared" ref="J199" si="216">+(F199*I199)+F199</f>
        <v>10761000</v>
      </c>
      <c r="K199" s="63">
        <v>15</v>
      </c>
      <c r="L199" s="22">
        <v>93278218</v>
      </c>
      <c r="M199" s="63">
        <v>14</v>
      </c>
      <c r="N199" s="22">
        <v>36673747</v>
      </c>
      <c r="O199" s="22">
        <f>L199+N199</f>
        <v>129951965</v>
      </c>
      <c r="P199" s="22">
        <f>L199/(1+E199)</f>
        <v>88415372.511848345</v>
      </c>
      <c r="Q199" s="61">
        <f>(P199*$Q$8)+P199</f>
        <v>92464796.572890997</v>
      </c>
      <c r="R199" s="61">
        <f>L199-Q199</f>
        <v>813421.42710900307</v>
      </c>
      <c r="S199" s="61">
        <f>N199/(1+E199)</f>
        <v>34761845.497630335</v>
      </c>
      <c r="T199" s="61">
        <f t="shared" si="212"/>
        <v>36353938.021421805</v>
      </c>
      <c r="U199" s="61">
        <f>N199-T199</f>
        <v>319808.97857819498</v>
      </c>
      <c r="V199" s="61">
        <f t="shared" si="213"/>
        <v>1133230.405687198</v>
      </c>
      <c r="X199" s="107"/>
      <c r="Y199" s="107"/>
      <c r="Z199" s="108"/>
      <c r="AA199" s="108"/>
    </row>
    <row r="200" spans="2:27" x14ac:dyDescent="0.2">
      <c r="B200" s="30" t="s">
        <v>392</v>
      </c>
      <c r="C200" s="6">
        <v>102</v>
      </c>
      <c r="D200" s="22">
        <v>13541000</v>
      </c>
      <c r="E200" s="32">
        <v>5.5E-2</v>
      </c>
      <c r="F200" s="22">
        <f t="shared" si="209"/>
        <v>14286000</v>
      </c>
      <c r="G200" s="32">
        <v>1.4999999999999999E-2</v>
      </c>
      <c r="H200" s="22">
        <f t="shared" si="210"/>
        <v>14500290</v>
      </c>
      <c r="I200" s="32">
        <v>0.02</v>
      </c>
      <c r="J200" s="22">
        <f t="shared" si="211"/>
        <v>14571720</v>
      </c>
      <c r="K200" s="63">
        <v>14</v>
      </c>
      <c r="L200" s="22">
        <v>89081782</v>
      </c>
      <c r="M200" s="63">
        <v>11</v>
      </c>
      <c r="N200" s="22">
        <v>91223253</v>
      </c>
      <c r="O200" s="22">
        <f>L200+N200</f>
        <v>180305035</v>
      </c>
      <c r="P200" s="22">
        <f>L200/(1+E200)</f>
        <v>84437708.05687204</v>
      </c>
      <c r="Q200" s="61">
        <f>(P200*$Q$8)+P200</f>
        <v>88304955.085876778</v>
      </c>
      <c r="R200" s="61">
        <f>L200-Q200</f>
        <v>776826.91412322223</v>
      </c>
      <c r="S200" s="61">
        <f>N200/(1+E200)</f>
        <v>86467538.388625592</v>
      </c>
      <c r="T200" s="61">
        <f t="shared" si="212"/>
        <v>90427751.646824643</v>
      </c>
      <c r="U200" s="61">
        <f>N200-T200</f>
        <v>795501.35317535698</v>
      </c>
      <c r="V200" s="61">
        <f t="shared" si="213"/>
        <v>1572328.2672985792</v>
      </c>
      <c r="X200" s="107"/>
      <c r="Y200" s="107"/>
      <c r="Z200" s="108"/>
      <c r="AA200" s="108"/>
    </row>
    <row r="201" spans="2:27" x14ac:dyDescent="0.2">
      <c r="B201" s="33" t="s">
        <v>219</v>
      </c>
      <c r="C201" s="6"/>
      <c r="D201" s="31"/>
      <c r="E201" s="32"/>
      <c r="F201" s="31"/>
      <c r="G201" s="6"/>
      <c r="H201" s="61"/>
      <c r="I201" s="6"/>
      <c r="J201" s="61"/>
      <c r="K201" s="34"/>
      <c r="L201" s="223"/>
      <c r="M201" s="63"/>
      <c r="N201" s="34"/>
      <c r="O201" s="22"/>
      <c r="P201" s="61"/>
      <c r="Q201" s="61"/>
      <c r="R201" s="61"/>
      <c r="S201" s="61"/>
      <c r="T201" s="61"/>
      <c r="U201" s="61"/>
      <c r="V201" s="62"/>
      <c r="X201" s="107"/>
      <c r="Y201" s="107"/>
      <c r="Z201" s="108"/>
      <c r="AA201" s="108"/>
    </row>
    <row r="202" spans="2:27" x14ac:dyDescent="0.2">
      <c r="B202" s="30" t="s">
        <v>131</v>
      </c>
      <c r="C202" s="6">
        <v>120</v>
      </c>
      <c r="D202" s="22">
        <v>15791000</v>
      </c>
      <c r="E202" s="32">
        <v>5.5E-2</v>
      </c>
      <c r="F202" s="22">
        <f t="shared" ref="F202:F221" si="217">+ROUND((D202*E202)+D202,-3)</f>
        <v>16660000</v>
      </c>
      <c r="G202" s="32">
        <v>1.4999999999999999E-2</v>
      </c>
      <c r="H202" s="22">
        <f t="shared" ref="H202:H221" si="218">+(F202*G202)+F202</f>
        <v>16909900</v>
      </c>
      <c r="I202" s="32">
        <v>0.02</v>
      </c>
      <c r="J202" s="22">
        <f t="shared" ref="J202:J221" si="219">+(F202*I202)+F202</f>
        <v>16993200</v>
      </c>
      <c r="K202" s="63">
        <v>50</v>
      </c>
      <c r="L202" s="22">
        <v>564795000</v>
      </c>
      <c r="M202" s="63">
        <v>51</v>
      </c>
      <c r="N202" s="22">
        <v>581455000</v>
      </c>
      <c r="O202" s="22">
        <f t="shared" ref="O202:O221" si="220">L202+N202</f>
        <v>1146250000</v>
      </c>
      <c r="P202" s="22">
        <f t="shared" ref="P202:P221" si="221">L202/(1+E202)</f>
        <v>535350710.90047395</v>
      </c>
      <c r="Q202" s="61">
        <f t="shared" ref="Q202:Q221" si="222">(P202*$Q$8)+P202</f>
        <v>559869773.4597156</v>
      </c>
      <c r="R202" s="61">
        <f t="shared" ref="R202:R221" si="223">L202-Q202</f>
        <v>4925226.5402843952</v>
      </c>
      <c r="S202" s="61">
        <f t="shared" ref="S202:S221" si="224">N202/(1+E202)</f>
        <v>551142180.09478676</v>
      </c>
      <c r="T202" s="61">
        <f t="shared" ref="T202:T221" si="225">(S202*$T$8)+S202</f>
        <v>576384491.94312799</v>
      </c>
      <c r="U202" s="61">
        <f t="shared" ref="U202:U221" si="226">N202-T202</f>
        <v>5070508.0568720102</v>
      </c>
      <c r="V202" s="61">
        <f t="shared" ref="V202:V221" si="227">R202+U202</f>
        <v>9995734.5971564054</v>
      </c>
      <c r="X202" s="107"/>
      <c r="Y202" s="107"/>
      <c r="Z202" s="108"/>
      <c r="AA202" s="108"/>
    </row>
    <row r="203" spans="2:27" x14ac:dyDescent="0.2">
      <c r="B203" s="30" t="s">
        <v>128</v>
      </c>
      <c r="C203" s="6">
        <v>24</v>
      </c>
      <c r="D203" s="22">
        <v>12771000</v>
      </c>
      <c r="E203" s="32">
        <v>5.5E-2</v>
      </c>
      <c r="F203" s="22">
        <f t="shared" si="217"/>
        <v>13473000</v>
      </c>
      <c r="G203" s="32">
        <v>1.4999999999999999E-2</v>
      </c>
      <c r="H203" s="22">
        <f t="shared" si="218"/>
        <v>13675095</v>
      </c>
      <c r="I203" s="32">
        <v>0.02</v>
      </c>
      <c r="J203" s="22">
        <f t="shared" si="219"/>
        <v>13742460</v>
      </c>
      <c r="K203" s="63">
        <v>45</v>
      </c>
      <c r="L203" s="22">
        <v>582033100</v>
      </c>
      <c r="M203" s="63">
        <v>45</v>
      </c>
      <c r="N203" s="22">
        <v>589443244</v>
      </c>
      <c r="O203" s="22">
        <f t="shared" si="220"/>
        <v>1171476344</v>
      </c>
      <c r="P203" s="22">
        <f t="shared" si="221"/>
        <v>551690142.18009484</v>
      </c>
      <c r="Q203" s="61">
        <f t="shared" si="222"/>
        <v>576957550.69194317</v>
      </c>
      <c r="R203" s="61">
        <f t="shared" si="223"/>
        <v>5075549.3080568314</v>
      </c>
      <c r="S203" s="61">
        <f t="shared" si="224"/>
        <v>558713975.35545027</v>
      </c>
      <c r="T203" s="61">
        <f t="shared" si="225"/>
        <v>584303075.42672992</v>
      </c>
      <c r="U203" s="61">
        <f t="shared" si="226"/>
        <v>5140168.5732700825</v>
      </c>
      <c r="V203" s="61">
        <f t="shared" si="227"/>
        <v>10215717.881326914</v>
      </c>
      <c r="X203" s="107"/>
      <c r="Y203" s="107"/>
      <c r="Z203" s="108"/>
      <c r="AA203" s="108"/>
    </row>
    <row r="204" spans="2:27" x14ac:dyDescent="0.2">
      <c r="B204" s="30" t="s">
        <v>188</v>
      </c>
      <c r="C204" s="6">
        <v>24</v>
      </c>
      <c r="D204" s="22">
        <v>11819000</v>
      </c>
      <c r="E204" s="32">
        <v>5.5E-2</v>
      </c>
      <c r="F204" s="22">
        <f t="shared" si="217"/>
        <v>12469000</v>
      </c>
      <c r="G204" s="32">
        <v>1.4999999999999999E-2</v>
      </c>
      <c r="H204" s="22">
        <f t="shared" si="218"/>
        <v>12656035</v>
      </c>
      <c r="I204" s="32">
        <v>0.02</v>
      </c>
      <c r="J204" s="22">
        <f t="shared" si="219"/>
        <v>12718380</v>
      </c>
      <c r="K204" s="63">
        <v>35</v>
      </c>
      <c r="L204" s="22">
        <v>431372287</v>
      </c>
      <c r="M204" s="63">
        <v>37</v>
      </c>
      <c r="N204" s="22">
        <v>457612287</v>
      </c>
      <c r="O204" s="22">
        <f t="shared" si="220"/>
        <v>888984574</v>
      </c>
      <c r="P204" s="22">
        <f t="shared" si="221"/>
        <v>408883684.36018962</v>
      </c>
      <c r="Q204" s="61">
        <f t="shared" si="222"/>
        <v>427610557.10388631</v>
      </c>
      <c r="R204" s="61">
        <f t="shared" si="223"/>
        <v>3761729.8961136937</v>
      </c>
      <c r="S204" s="61">
        <f t="shared" si="224"/>
        <v>433755722.27488154</v>
      </c>
      <c r="T204" s="61">
        <f t="shared" si="225"/>
        <v>453621734.35507113</v>
      </c>
      <c r="U204" s="61">
        <f t="shared" si="226"/>
        <v>3990552.6449288726</v>
      </c>
      <c r="V204" s="61">
        <f t="shared" si="227"/>
        <v>7752282.5410425663</v>
      </c>
      <c r="X204" s="107"/>
      <c r="Y204" s="107"/>
      <c r="Z204" s="108"/>
      <c r="AA204" s="108"/>
    </row>
    <row r="205" spans="2:27" x14ac:dyDescent="0.2">
      <c r="B205" s="30" t="s">
        <v>126</v>
      </c>
      <c r="C205" s="6">
        <v>27</v>
      </c>
      <c r="D205" s="22">
        <v>12417000</v>
      </c>
      <c r="E205" s="32">
        <v>5.5E-2</v>
      </c>
      <c r="F205" s="22">
        <f t="shared" si="217"/>
        <v>13100000</v>
      </c>
      <c r="G205" s="32">
        <v>1.4999999999999999E-2</v>
      </c>
      <c r="H205" s="22">
        <f t="shared" si="218"/>
        <v>13296500</v>
      </c>
      <c r="I205" s="32">
        <v>0.02</v>
      </c>
      <c r="J205" s="22">
        <f t="shared" si="219"/>
        <v>13362000</v>
      </c>
      <c r="K205" s="63">
        <v>78</v>
      </c>
      <c r="L205" s="22">
        <v>996134097</v>
      </c>
      <c r="M205" s="63">
        <v>78</v>
      </c>
      <c r="N205" s="22">
        <v>1002281097</v>
      </c>
      <c r="O205" s="22">
        <f t="shared" si="220"/>
        <v>1998415194</v>
      </c>
      <c r="P205" s="22">
        <f t="shared" si="221"/>
        <v>944202935.5450238</v>
      </c>
      <c r="Q205" s="61">
        <f t="shared" si="222"/>
        <v>987447429.99298584</v>
      </c>
      <c r="R205" s="61">
        <f t="shared" si="223"/>
        <v>8686667.0070141554</v>
      </c>
      <c r="S205" s="61">
        <f t="shared" si="224"/>
        <v>950029475.82938397</v>
      </c>
      <c r="T205" s="61">
        <f t="shared" si="225"/>
        <v>993540825.82236981</v>
      </c>
      <c r="U205" s="61">
        <f t="shared" si="226"/>
        <v>8740271.1776301861</v>
      </c>
      <c r="V205" s="61">
        <f t="shared" si="227"/>
        <v>17426938.184644341</v>
      </c>
      <c r="X205" s="107"/>
      <c r="Y205" s="107"/>
      <c r="Z205" s="108"/>
      <c r="AA205" s="108"/>
    </row>
    <row r="206" spans="2:27" x14ac:dyDescent="0.2">
      <c r="B206" s="30" t="s">
        <v>189</v>
      </c>
      <c r="C206" s="6">
        <v>24</v>
      </c>
      <c r="D206" s="22">
        <v>11104000</v>
      </c>
      <c r="E206" s="32">
        <v>5.5E-2</v>
      </c>
      <c r="F206" s="22">
        <f t="shared" si="217"/>
        <v>11715000</v>
      </c>
      <c r="G206" s="32">
        <v>1.4999999999999999E-2</v>
      </c>
      <c r="H206" s="22">
        <f t="shared" si="218"/>
        <v>11890725</v>
      </c>
      <c r="I206" s="32">
        <v>0.02</v>
      </c>
      <c r="J206" s="22">
        <f t="shared" si="219"/>
        <v>11949300</v>
      </c>
      <c r="K206" s="63">
        <v>20</v>
      </c>
      <c r="L206" s="22">
        <v>230968800</v>
      </c>
      <c r="M206" s="63">
        <v>14</v>
      </c>
      <c r="N206" s="22">
        <v>162838500</v>
      </c>
      <c r="O206" s="22">
        <f t="shared" si="220"/>
        <v>393807300</v>
      </c>
      <c r="P206" s="22">
        <f t="shared" si="221"/>
        <v>218927772.51184836</v>
      </c>
      <c r="Q206" s="61">
        <f t="shared" si="222"/>
        <v>228954664.49289101</v>
      </c>
      <c r="R206" s="61">
        <f t="shared" si="223"/>
        <v>2014135.5071089864</v>
      </c>
      <c r="S206" s="61">
        <f t="shared" si="224"/>
        <v>154349289.09952608</v>
      </c>
      <c r="T206" s="61">
        <f t="shared" si="225"/>
        <v>161418486.54028437</v>
      </c>
      <c r="U206" s="61">
        <f t="shared" si="226"/>
        <v>1420013.4597156346</v>
      </c>
      <c r="V206" s="61">
        <f t="shared" si="227"/>
        <v>3434148.966824621</v>
      </c>
      <c r="X206" s="107"/>
      <c r="Y206" s="107"/>
      <c r="Z206" s="108"/>
      <c r="AA206" s="108"/>
    </row>
    <row r="207" spans="2:27" x14ac:dyDescent="0.2">
      <c r="B207" s="30" t="s">
        <v>127</v>
      </c>
      <c r="C207" s="6">
        <v>30</v>
      </c>
      <c r="D207" s="22">
        <v>12650000</v>
      </c>
      <c r="E207" s="32">
        <v>5.5E-2</v>
      </c>
      <c r="F207" s="22">
        <f t="shared" si="217"/>
        <v>13346000</v>
      </c>
      <c r="G207" s="32">
        <v>1.4999999999999999E-2</v>
      </c>
      <c r="H207" s="22">
        <f t="shared" si="218"/>
        <v>13546190</v>
      </c>
      <c r="I207" s="32">
        <v>0.02</v>
      </c>
      <c r="J207" s="22">
        <f t="shared" si="219"/>
        <v>13612920</v>
      </c>
      <c r="K207" s="63">
        <v>23</v>
      </c>
      <c r="L207" s="22">
        <v>277930843</v>
      </c>
      <c r="M207" s="63">
        <v>21</v>
      </c>
      <c r="N207" s="22">
        <v>268655198</v>
      </c>
      <c r="O207" s="22">
        <f t="shared" si="220"/>
        <v>546586041</v>
      </c>
      <c r="P207" s="22">
        <f t="shared" si="221"/>
        <v>263441557.34597158</v>
      </c>
      <c r="Q207" s="61">
        <f t="shared" si="222"/>
        <v>275507180.6724171</v>
      </c>
      <c r="R207" s="61">
        <f t="shared" si="223"/>
        <v>2423662.3275828958</v>
      </c>
      <c r="S207" s="61">
        <f t="shared" si="224"/>
        <v>254649476.77725121</v>
      </c>
      <c r="T207" s="61">
        <f t="shared" si="225"/>
        <v>266312422.81364933</v>
      </c>
      <c r="U207" s="61">
        <f t="shared" si="226"/>
        <v>2342775.1863506734</v>
      </c>
      <c r="V207" s="61">
        <f t="shared" si="227"/>
        <v>4766437.5139335692</v>
      </c>
      <c r="X207" s="107"/>
      <c r="Y207" s="107"/>
      <c r="Z207" s="108"/>
      <c r="AA207" s="108"/>
    </row>
    <row r="208" spans="2:27" x14ac:dyDescent="0.2">
      <c r="B208" s="30" t="s">
        <v>190</v>
      </c>
      <c r="C208" s="6">
        <v>25</v>
      </c>
      <c r="D208" s="22">
        <v>11613000</v>
      </c>
      <c r="E208" s="32">
        <v>5.5E-2</v>
      </c>
      <c r="F208" s="22">
        <f t="shared" si="217"/>
        <v>12252000</v>
      </c>
      <c r="G208" s="32">
        <v>1.4999999999999999E-2</v>
      </c>
      <c r="H208" s="22">
        <f t="shared" si="218"/>
        <v>12435780</v>
      </c>
      <c r="I208" s="32">
        <v>0.02</v>
      </c>
      <c r="J208" s="22">
        <f t="shared" si="219"/>
        <v>12497040</v>
      </c>
      <c r="K208" s="63">
        <v>23</v>
      </c>
      <c r="L208" s="22">
        <v>277482435</v>
      </c>
      <c r="M208" s="63">
        <v>25</v>
      </c>
      <c r="N208" s="22">
        <v>302624486</v>
      </c>
      <c r="O208" s="22">
        <f t="shared" si="220"/>
        <v>580106921</v>
      </c>
      <c r="P208" s="22">
        <f t="shared" si="221"/>
        <v>263016526.06635073</v>
      </c>
      <c r="Q208" s="61">
        <f t="shared" si="222"/>
        <v>275062682.96018958</v>
      </c>
      <c r="R208" s="61">
        <f t="shared" si="223"/>
        <v>2419752.0398104191</v>
      </c>
      <c r="S208" s="61">
        <f t="shared" si="224"/>
        <v>286847854.02843606</v>
      </c>
      <c r="T208" s="61">
        <f t="shared" si="225"/>
        <v>299985485.74293846</v>
      </c>
      <c r="U208" s="61">
        <f t="shared" si="226"/>
        <v>2639000.2570615411</v>
      </c>
      <c r="V208" s="61">
        <f t="shared" si="227"/>
        <v>5058752.2968719602</v>
      </c>
      <c r="X208" s="107"/>
      <c r="Y208" s="107"/>
      <c r="Z208" s="108"/>
      <c r="AA208" s="108"/>
    </row>
    <row r="209" spans="2:27" x14ac:dyDescent="0.2">
      <c r="B209" s="30" t="s">
        <v>575</v>
      </c>
      <c r="C209" s="6">
        <v>27</v>
      </c>
      <c r="D209" s="22">
        <v>12650000</v>
      </c>
      <c r="E209" s="32">
        <v>5.5E-2</v>
      </c>
      <c r="F209" s="22">
        <f t="shared" si="217"/>
        <v>13346000</v>
      </c>
      <c r="G209" s="32">
        <v>1.4999999999999999E-2</v>
      </c>
      <c r="H209" s="22">
        <f t="shared" si="218"/>
        <v>13546190</v>
      </c>
      <c r="I209" s="32">
        <v>0.02</v>
      </c>
      <c r="J209" s="22">
        <f t="shared" si="219"/>
        <v>13612920</v>
      </c>
      <c r="K209" s="63">
        <v>45</v>
      </c>
      <c r="L209" s="22">
        <v>586570000</v>
      </c>
      <c r="M209" s="63">
        <v>45</v>
      </c>
      <c r="N209" s="22">
        <v>586570000</v>
      </c>
      <c r="O209" s="22">
        <f t="shared" si="220"/>
        <v>1173140000</v>
      </c>
      <c r="P209" s="22">
        <f t="shared" si="221"/>
        <v>555990521.32701421</v>
      </c>
      <c r="Q209" s="61">
        <f t="shared" si="222"/>
        <v>581454887.2037915</v>
      </c>
      <c r="R209" s="61">
        <f t="shared" si="223"/>
        <v>5115112.7962085009</v>
      </c>
      <c r="S209" s="61">
        <f t="shared" si="224"/>
        <v>555990521.32701421</v>
      </c>
      <c r="T209" s="61">
        <f t="shared" si="225"/>
        <v>581454887.2037915</v>
      </c>
      <c r="U209" s="61">
        <f t="shared" si="226"/>
        <v>5115112.7962085009</v>
      </c>
      <c r="V209" s="61">
        <f t="shared" si="227"/>
        <v>10230225.592417002</v>
      </c>
      <c r="X209" s="107"/>
      <c r="Y209" s="107"/>
      <c r="Z209" s="108"/>
      <c r="AA209" s="108"/>
    </row>
    <row r="210" spans="2:27" x14ac:dyDescent="0.2">
      <c r="B210" s="30" t="s">
        <v>576</v>
      </c>
      <c r="C210" s="6">
        <v>40</v>
      </c>
      <c r="D210" s="22">
        <v>13430000</v>
      </c>
      <c r="E210" s="32">
        <v>5.5E-2</v>
      </c>
      <c r="F210" s="22">
        <f t="shared" si="217"/>
        <v>14169000</v>
      </c>
      <c r="G210" s="32">
        <v>1.4999999999999999E-2</v>
      </c>
      <c r="H210" s="22">
        <f t="shared" si="218"/>
        <v>14381535</v>
      </c>
      <c r="I210" s="32">
        <v>0.02</v>
      </c>
      <c r="J210" s="22">
        <f t="shared" si="219"/>
        <v>14452380</v>
      </c>
      <c r="K210" s="63">
        <v>76</v>
      </c>
      <c r="L210" s="22">
        <v>975794750</v>
      </c>
      <c r="M210" s="63">
        <v>76</v>
      </c>
      <c r="N210" s="22">
        <v>975794750</v>
      </c>
      <c r="O210" s="22">
        <f t="shared" si="220"/>
        <v>1951589500</v>
      </c>
      <c r="P210" s="22">
        <f t="shared" si="221"/>
        <v>924923933.64928913</v>
      </c>
      <c r="Q210" s="61">
        <f t="shared" si="222"/>
        <v>967285449.81042659</v>
      </c>
      <c r="R210" s="61">
        <f t="shared" si="223"/>
        <v>8509300.1895734072</v>
      </c>
      <c r="S210" s="61">
        <f t="shared" si="224"/>
        <v>924923933.64928913</v>
      </c>
      <c r="T210" s="61">
        <f t="shared" si="225"/>
        <v>967285449.81042659</v>
      </c>
      <c r="U210" s="61">
        <f t="shared" si="226"/>
        <v>8509300.1895734072</v>
      </c>
      <c r="V210" s="61">
        <f t="shared" si="227"/>
        <v>17018600.379146814</v>
      </c>
      <c r="X210" s="107"/>
      <c r="Y210" s="107"/>
      <c r="Z210" s="108"/>
      <c r="AA210" s="108"/>
    </row>
    <row r="211" spans="2:27" x14ac:dyDescent="0.2">
      <c r="B211" s="30" t="s">
        <v>191</v>
      </c>
      <c r="C211" s="6">
        <v>41</v>
      </c>
      <c r="D211" s="22">
        <v>13110000</v>
      </c>
      <c r="E211" s="32">
        <v>5.5E-2</v>
      </c>
      <c r="F211" s="22">
        <f t="shared" si="217"/>
        <v>13831000</v>
      </c>
      <c r="G211" s="32">
        <v>1.4999999999999999E-2</v>
      </c>
      <c r="H211" s="22">
        <f t="shared" si="218"/>
        <v>14038465</v>
      </c>
      <c r="I211" s="32">
        <v>0.02</v>
      </c>
      <c r="J211" s="22">
        <f t="shared" si="219"/>
        <v>14107620</v>
      </c>
      <c r="K211" s="63">
        <v>17</v>
      </c>
      <c r="L211" s="22">
        <v>208848005</v>
      </c>
      <c r="M211" s="63">
        <v>19</v>
      </c>
      <c r="N211" s="22">
        <v>236510005</v>
      </c>
      <c r="O211" s="22">
        <f t="shared" si="220"/>
        <v>445358010</v>
      </c>
      <c r="P211" s="22">
        <f t="shared" si="221"/>
        <v>197960194.31279624</v>
      </c>
      <c r="Q211" s="61">
        <f t="shared" si="222"/>
        <v>207026771.21232229</v>
      </c>
      <c r="R211" s="61">
        <f t="shared" si="223"/>
        <v>1821233.7876777053</v>
      </c>
      <c r="S211" s="61">
        <f t="shared" si="224"/>
        <v>224180099.52606636</v>
      </c>
      <c r="T211" s="61">
        <f t="shared" si="225"/>
        <v>234447548.08436021</v>
      </c>
      <c r="U211" s="61">
        <f t="shared" si="226"/>
        <v>2062456.9156397879</v>
      </c>
      <c r="V211" s="61">
        <f t="shared" si="227"/>
        <v>3883690.7033174932</v>
      </c>
      <c r="X211" s="107"/>
      <c r="Y211" s="107"/>
      <c r="Z211" s="108"/>
      <c r="AA211" s="108"/>
    </row>
    <row r="212" spans="2:27" x14ac:dyDescent="0.2">
      <c r="B212" s="30" t="s">
        <v>129</v>
      </c>
      <c r="C212" s="6">
        <v>36</v>
      </c>
      <c r="D212" s="22">
        <v>12593000</v>
      </c>
      <c r="E212" s="32">
        <v>5.5E-2</v>
      </c>
      <c r="F212" s="22">
        <f t="shared" si="217"/>
        <v>13286000</v>
      </c>
      <c r="G212" s="32">
        <v>1.4999999999999999E-2</v>
      </c>
      <c r="H212" s="22">
        <f t="shared" si="218"/>
        <v>13485290</v>
      </c>
      <c r="I212" s="32">
        <v>0.02</v>
      </c>
      <c r="J212" s="22">
        <f t="shared" si="219"/>
        <v>13551720</v>
      </c>
      <c r="K212" s="63">
        <v>18</v>
      </c>
      <c r="L212" s="22">
        <v>215733894</v>
      </c>
      <c r="M212" s="63">
        <v>18</v>
      </c>
      <c r="N212" s="22">
        <v>209090316</v>
      </c>
      <c r="O212" s="22">
        <f t="shared" si="220"/>
        <v>424824210</v>
      </c>
      <c r="P212" s="22">
        <f t="shared" si="221"/>
        <v>204487103.31753555</v>
      </c>
      <c r="Q212" s="61">
        <f t="shared" si="222"/>
        <v>213852612.64947867</v>
      </c>
      <c r="R212" s="61">
        <f t="shared" si="223"/>
        <v>1881281.3505213261</v>
      </c>
      <c r="S212" s="61">
        <f t="shared" si="224"/>
        <v>198189872.985782</v>
      </c>
      <c r="T212" s="61">
        <f t="shared" si="225"/>
        <v>207266969.16853082</v>
      </c>
      <c r="U212" s="61">
        <f t="shared" si="226"/>
        <v>1823346.8314691782</v>
      </c>
      <c r="V212" s="61">
        <f t="shared" si="227"/>
        <v>3704628.1819905043</v>
      </c>
      <c r="X212" s="107"/>
      <c r="Y212" s="107"/>
      <c r="Z212" s="108"/>
      <c r="AA212" s="108"/>
    </row>
    <row r="213" spans="2:27" x14ac:dyDescent="0.2">
      <c r="B213" s="30" t="s">
        <v>192</v>
      </c>
      <c r="C213" s="6">
        <v>48</v>
      </c>
      <c r="D213" s="22">
        <v>11951000</v>
      </c>
      <c r="E213" s="32">
        <v>5.5E-2</v>
      </c>
      <c r="F213" s="22">
        <f t="shared" si="217"/>
        <v>12608000</v>
      </c>
      <c r="G213" s="32">
        <v>1.4999999999999999E-2</v>
      </c>
      <c r="H213" s="22">
        <f t="shared" si="218"/>
        <v>12797120</v>
      </c>
      <c r="I213" s="32">
        <v>0.02</v>
      </c>
      <c r="J213" s="22">
        <f t="shared" si="219"/>
        <v>12860160</v>
      </c>
      <c r="K213" s="63">
        <v>50</v>
      </c>
      <c r="L213" s="22">
        <v>565467230</v>
      </c>
      <c r="M213" s="63">
        <v>50</v>
      </c>
      <c r="N213" s="22">
        <v>565467230</v>
      </c>
      <c r="O213" s="22">
        <f t="shared" si="220"/>
        <v>1130934460</v>
      </c>
      <c r="P213" s="22">
        <f t="shared" si="221"/>
        <v>535987895.73459721</v>
      </c>
      <c r="Q213" s="61">
        <f t="shared" si="222"/>
        <v>560536141.35924172</v>
      </c>
      <c r="R213" s="61">
        <f t="shared" si="223"/>
        <v>4931088.640758276</v>
      </c>
      <c r="S213" s="61">
        <f t="shared" si="224"/>
        <v>535987895.73459721</v>
      </c>
      <c r="T213" s="61">
        <f t="shared" si="225"/>
        <v>560536141.35924172</v>
      </c>
      <c r="U213" s="61">
        <f t="shared" si="226"/>
        <v>4931088.640758276</v>
      </c>
      <c r="V213" s="61">
        <f t="shared" si="227"/>
        <v>9862177.281516552</v>
      </c>
      <c r="X213" s="107"/>
      <c r="Y213" s="107"/>
      <c r="Z213" s="108"/>
      <c r="AA213" s="108"/>
    </row>
    <row r="214" spans="2:27" x14ac:dyDescent="0.2">
      <c r="B214" s="30" t="s">
        <v>394</v>
      </c>
      <c r="C214" s="6">
        <v>42</v>
      </c>
      <c r="D214" s="22">
        <v>13059000</v>
      </c>
      <c r="E214" s="32">
        <v>0</v>
      </c>
      <c r="F214" s="22">
        <f t="shared" ref="F214" si="228">+ROUND((D214*E214)+D214,-3)</f>
        <v>13059000</v>
      </c>
      <c r="G214" s="32">
        <v>1.4999999999999999E-2</v>
      </c>
      <c r="H214" s="22">
        <f t="shared" ref="H214" si="229">+(F214*G214)+F214</f>
        <v>13254885</v>
      </c>
      <c r="I214" s="32">
        <v>0.02</v>
      </c>
      <c r="J214" s="22">
        <f t="shared" ref="J214" si="230">+(F214*I214)+F214</f>
        <v>13320180</v>
      </c>
      <c r="K214" s="63">
        <v>17</v>
      </c>
      <c r="L214" s="22">
        <v>197843850</v>
      </c>
      <c r="M214" s="63">
        <v>19</v>
      </c>
      <c r="N214" s="22">
        <v>223961850</v>
      </c>
      <c r="O214" s="22">
        <f t="shared" si="220"/>
        <v>421805700</v>
      </c>
      <c r="P214" s="22">
        <f t="shared" si="221"/>
        <v>197843850</v>
      </c>
      <c r="Q214" s="61">
        <f t="shared" si="222"/>
        <v>206905098.33000001</v>
      </c>
      <c r="R214" s="61">
        <f t="shared" si="223"/>
        <v>-9061248.3300000131</v>
      </c>
      <c r="S214" s="61">
        <f t="shared" si="224"/>
        <v>223961850</v>
      </c>
      <c r="T214" s="61">
        <f t="shared" si="225"/>
        <v>234219302.72999999</v>
      </c>
      <c r="U214" s="61">
        <f t="shared" si="226"/>
        <v>-10257452.729999989</v>
      </c>
      <c r="V214" s="61">
        <f t="shared" si="227"/>
        <v>-19318701.060000002</v>
      </c>
      <c r="X214" s="107"/>
      <c r="Y214" s="107"/>
      <c r="Z214" s="108"/>
      <c r="AA214" s="108"/>
    </row>
    <row r="215" spans="2:27" x14ac:dyDescent="0.2">
      <c r="B215" s="30" t="s">
        <v>132</v>
      </c>
      <c r="C215" s="6">
        <v>40</v>
      </c>
      <c r="D215" s="22">
        <v>13059000</v>
      </c>
      <c r="E215" s="32">
        <v>5.5E-2</v>
      </c>
      <c r="F215" s="22">
        <f t="shared" si="217"/>
        <v>13777000</v>
      </c>
      <c r="G215" s="32">
        <v>1.4999999999999999E-2</v>
      </c>
      <c r="H215" s="22">
        <f t="shared" si="218"/>
        <v>13983655</v>
      </c>
      <c r="I215" s="32">
        <v>0.02</v>
      </c>
      <c r="J215" s="22">
        <f t="shared" si="219"/>
        <v>14052540</v>
      </c>
      <c r="K215" s="63">
        <v>26</v>
      </c>
      <c r="L215" s="22">
        <v>324448000</v>
      </c>
      <c r="M215" s="63">
        <v>26</v>
      </c>
      <c r="N215" s="22">
        <v>324448000</v>
      </c>
      <c r="O215" s="22">
        <f t="shared" si="220"/>
        <v>648896000</v>
      </c>
      <c r="P215" s="22">
        <f t="shared" si="221"/>
        <v>307533649.28909951</v>
      </c>
      <c r="Q215" s="61">
        <f t="shared" si="222"/>
        <v>321618690.42654026</v>
      </c>
      <c r="R215" s="61">
        <f t="shared" si="223"/>
        <v>2829309.5734597445</v>
      </c>
      <c r="S215" s="61">
        <f t="shared" si="224"/>
        <v>307533649.28909951</v>
      </c>
      <c r="T215" s="61">
        <f t="shared" si="225"/>
        <v>321618690.42654026</v>
      </c>
      <c r="U215" s="61">
        <f t="shared" si="226"/>
        <v>2829309.5734597445</v>
      </c>
      <c r="V215" s="61">
        <f t="shared" si="227"/>
        <v>5658619.1469194889</v>
      </c>
      <c r="X215" s="107"/>
      <c r="Y215" s="107"/>
      <c r="Z215" s="108"/>
      <c r="AA215" s="108"/>
    </row>
    <row r="216" spans="2:27" x14ac:dyDescent="0.2">
      <c r="B216" s="30" t="s">
        <v>193</v>
      </c>
      <c r="C216" s="6">
        <v>42</v>
      </c>
      <c r="D216" s="22">
        <v>12759000</v>
      </c>
      <c r="E216" s="32">
        <v>5.5E-2</v>
      </c>
      <c r="F216" s="22">
        <f t="shared" si="217"/>
        <v>13461000</v>
      </c>
      <c r="G216" s="32">
        <v>1.4999999999999999E-2</v>
      </c>
      <c r="H216" s="22">
        <f t="shared" si="218"/>
        <v>13662915</v>
      </c>
      <c r="I216" s="32">
        <v>0.02</v>
      </c>
      <c r="J216" s="22">
        <f t="shared" si="219"/>
        <v>13730220</v>
      </c>
      <c r="K216" s="63">
        <v>17</v>
      </c>
      <c r="L216" s="22">
        <v>177597967</v>
      </c>
      <c r="M216" s="63">
        <v>15</v>
      </c>
      <c r="N216" s="22">
        <v>151291669</v>
      </c>
      <c r="O216" s="22">
        <f t="shared" si="220"/>
        <v>328889636</v>
      </c>
      <c r="P216" s="22">
        <f t="shared" si="221"/>
        <v>168339305.21327016</v>
      </c>
      <c r="Q216" s="61">
        <f t="shared" si="222"/>
        <v>176049245.39203793</v>
      </c>
      <c r="R216" s="61">
        <f t="shared" si="223"/>
        <v>1548721.6079620719</v>
      </c>
      <c r="S216" s="61">
        <f t="shared" si="224"/>
        <v>143404425.59241706</v>
      </c>
      <c r="T216" s="61">
        <f t="shared" si="225"/>
        <v>149972348.28454977</v>
      </c>
      <c r="U216" s="61">
        <f t="shared" si="226"/>
        <v>1319320.7154502273</v>
      </c>
      <c r="V216" s="61">
        <f t="shared" si="227"/>
        <v>2868042.3234122992</v>
      </c>
      <c r="X216" s="107"/>
      <c r="Y216" s="107"/>
      <c r="Z216" s="108"/>
      <c r="AA216" s="108"/>
    </row>
    <row r="217" spans="2:27" x14ac:dyDescent="0.2">
      <c r="B217" s="30" t="s">
        <v>365</v>
      </c>
      <c r="C217" s="6">
        <v>48</v>
      </c>
      <c r="D217" s="22">
        <v>11758000</v>
      </c>
      <c r="E217" s="32">
        <v>5.5E-2</v>
      </c>
      <c r="F217" s="22">
        <f t="shared" si="217"/>
        <v>12405000</v>
      </c>
      <c r="G217" s="32">
        <v>1.4999999999999999E-2</v>
      </c>
      <c r="H217" s="22">
        <f t="shared" si="218"/>
        <v>12591075</v>
      </c>
      <c r="I217" s="32">
        <v>0.02</v>
      </c>
      <c r="J217" s="22">
        <f t="shared" si="219"/>
        <v>12653100</v>
      </c>
      <c r="K217" s="63">
        <v>27</v>
      </c>
      <c r="L217" s="22">
        <v>311241698</v>
      </c>
      <c r="M217" s="63">
        <v>34</v>
      </c>
      <c r="N217" s="22">
        <v>391874198</v>
      </c>
      <c r="O217" s="22">
        <f t="shared" si="220"/>
        <v>703115896</v>
      </c>
      <c r="P217" s="22">
        <f t="shared" si="221"/>
        <v>295015827.48815167</v>
      </c>
      <c r="Q217" s="61">
        <f t="shared" si="222"/>
        <v>308527552.38710904</v>
      </c>
      <c r="R217" s="61">
        <f t="shared" si="223"/>
        <v>2714145.6128909588</v>
      </c>
      <c r="S217" s="61">
        <f t="shared" si="224"/>
        <v>371444737.44075829</v>
      </c>
      <c r="T217" s="61">
        <f t="shared" si="225"/>
        <v>388456906.41554499</v>
      </c>
      <c r="U217" s="61">
        <f t="shared" si="226"/>
        <v>3417291.5844550133</v>
      </c>
      <c r="V217" s="61">
        <f t="shared" si="227"/>
        <v>6131437.1973459721</v>
      </c>
      <c r="X217" s="107"/>
      <c r="Y217" s="107"/>
      <c r="Z217" s="108"/>
      <c r="AA217" s="108"/>
    </row>
    <row r="218" spans="2:27" x14ac:dyDescent="0.2">
      <c r="B218" s="30" t="s">
        <v>395</v>
      </c>
      <c r="C218" s="6">
        <v>40</v>
      </c>
      <c r="D218" s="22">
        <v>13059000</v>
      </c>
      <c r="E218" s="32">
        <v>5.5E-2</v>
      </c>
      <c r="F218" s="22">
        <f t="shared" ref="F218" si="231">+ROUND((D218*E218)+D218,-3)</f>
        <v>13777000</v>
      </c>
      <c r="G218" s="32">
        <v>1.4999999999999999E-2</v>
      </c>
      <c r="H218" s="22">
        <f t="shared" ref="H218" si="232">+(F218*G218)+F218</f>
        <v>13983655</v>
      </c>
      <c r="I218" s="32">
        <v>0.02</v>
      </c>
      <c r="J218" s="22">
        <f t="shared" ref="J218" si="233">+(F218*I218)+F218</f>
        <v>14052540</v>
      </c>
      <c r="K218" s="63">
        <v>55</v>
      </c>
      <c r="L218" s="22">
        <v>690226745</v>
      </c>
      <c r="M218" s="63">
        <v>55</v>
      </c>
      <c r="N218" s="22">
        <v>716403510</v>
      </c>
      <c r="O218" s="22">
        <f t="shared" si="220"/>
        <v>1406630255</v>
      </c>
      <c r="P218" s="22">
        <f t="shared" si="221"/>
        <v>654243360.18957353</v>
      </c>
      <c r="Q218" s="61">
        <f t="shared" si="222"/>
        <v>684207706.08625603</v>
      </c>
      <c r="R218" s="61">
        <f t="shared" si="223"/>
        <v>6019038.9137439728</v>
      </c>
      <c r="S218" s="61">
        <f t="shared" si="224"/>
        <v>679055459.71563983</v>
      </c>
      <c r="T218" s="61">
        <f t="shared" si="225"/>
        <v>710156199.77061617</v>
      </c>
      <c r="U218" s="61">
        <f t="shared" si="226"/>
        <v>6247310.2293838263</v>
      </c>
      <c r="V218" s="61">
        <f t="shared" si="227"/>
        <v>12266349.143127799</v>
      </c>
      <c r="X218" s="107"/>
      <c r="Y218" s="107"/>
      <c r="Z218" s="108"/>
      <c r="AA218" s="108"/>
    </row>
    <row r="219" spans="2:27" x14ac:dyDescent="0.2">
      <c r="B219" s="30" t="s">
        <v>396</v>
      </c>
      <c r="C219" s="6">
        <v>40</v>
      </c>
      <c r="D219" s="22">
        <v>13059000</v>
      </c>
      <c r="E219" s="32">
        <v>5.5E-2</v>
      </c>
      <c r="F219" s="22">
        <f t="shared" ref="F219" si="234">+ROUND((D219*E219)+D219,-3)</f>
        <v>13777000</v>
      </c>
      <c r="G219" s="32">
        <v>1.4999999999999999E-2</v>
      </c>
      <c r="H219" s="22">
        <f t="shared" ref="H219" si="235">+(F219*G219)+F219</f>
        <v>13983655</v>
      </c>
      <c r="I219" s="32">
        <v>0.02</v>
      </c>
      <c r="J219" s="22">
        <f t="shared" ref="J219" si="236">+(F219*I219)+F219</f>
        <v>14052540</v>
      </c>
      <c r="K219" s="63">
        <v>20</v>
      </c>
      <c r="L219" s="22">
        <v>264517965</v>
      </c>
      <c r="M219" s="63">
        <v>27</v>
      </c>
      <c r="N219" s="22">
        <v>353379720</v>
      </c>
      <c r="O219" s="22">
        <f t="shared" si="220"/>
        <v>617897685</v>
      </c>
      <c r="P219" s="22">
        <f t="shared" si="221"/>
        <v>250727928.90995261</v>
      </c>
      <c r="Q219" s="61">
        <f t="shared" si="222"/>
        <v>262211268.05402845</v>
      </c>
      <c r="R219" s="61">
        <f t="shared" si="223"/>
        <v>2306696.9459715486</v>
      </c>
      <c r="S219" s="61">
        <f t="shared" si="224"/>
        <v>334957080.5687204</v>
      </c>
      <c r="T219" s="61">
        <f t="shared" si="225"/>
        <v>350298114.85876781</v>
      </c>
      <c r="U219" s="61">
        <f t="shared" si="226"/>
        <v>3081605.1412321925</v>
      </c>
      <c r="V219" s="61">
        <f t="shared" si="227"/>
        <v>5388302.0872037411</v>
      </c>
      <c r="X219" s="107"/>
      <c r="Y219" s="107"/>
      <c r="Z219" s="108"/>
      <c r="AA219" s="108"/>
    </row>
    <row r="220" spans="2:27" x14ac:dyDescent="0.2">
      <c r="B220" s="30" t="s">
        <v>336</v>
      </c>
      <c r="C220" s="6">
        <v>42</v>
      </c>
      <c r="D220" s="22">
        <v>11759000</v>
      </c>
      <c r="E220" s="32">
        <v>5.5E-2</v>
      </c>
      <c r="F220" s="22">
        <f t="shared" si="217"/>
        <v>12406000</v>
      </c>
      <c r="G220" s="32">
        <v>1.4999999999999999E-2</v>
      </c>
      <c r="H220" s="22">
        <f t="shared" si="218"/>
        <v>12592090</v>
      </c>
      <c r="I220" s="32">
        <v>0.02</v>
      </c>
      <c r="J220" s="22">
        <f t="shared" si="219"/>
        <v>12654120</v>
      </c>
      <c r="K220" s="63">
        <v>66</v>
      </c>
      <c r="L220" s="22">
        <v>767631416</v>
      </c>
      <c r="M220" s="63">
        <v>72</v>
      </c>
      <c r="N220" s="22">
        <v>843360906</v>
      </c>
      <c r="O220" s="22">
        <f t="shared" si="220"/>
        <v>1610992322</v>
      </c>
      <c r="P220" s="22">
        <f t="shared" si="221"/>
        <v>727612716.58767772</v>
      </c>
      <c r="Q220" s="61">
        <f t="shared" si="222"/>
        <v>760937379.00739336</v>
      </c>
      <c r="R220" s="61">
        <f t="shared" si="223"/>
        <v>6694036.9926066399</v>
      </c>
      <c r="S220" s="61">
        <f t="shared" si="224"/>
        <v>799394223.69668245</v>
      </c>
      <c r="T220" s="61">
        <f t="shared" si="225"/>
        <v>836006479.14199054</v>
      </c>
      <c r="U220" s="61">
        <f t="shared" si="226"/>
        <v>7354426.8580094576</v>
      </c>
      <c r="V220" s="61">
        <f t="shared" si="227"/>
        <v>14048463.850616097</v>
      </c>
      <c r="X220" s="107"/>
      <c r="Y220" s="107"/>
      <c r="Z220" s="108"/>
      <c r="AA220" s="108"/>
    </row>
    <row r="221" spans="2:27" x14ac:dyDescent="0.2">
      <c r="B221" s="30" t="s">
        <v>130</v>
      </c>
      <c r="C221" s="6">
        <v>42</v>
      </c>
      <c r="D221" s="22">
        <v>11758000</v>
      </c>
      <c r="E221" s="32">
        <v>5.5E-2</v>
      </c>
      <c r="F221" s="22">
        <f t="shared" si="217"/>
        <v>12405000</v>
      </c>
      <c r="G221" s="32">
        <v>1.4999999999999999E-2</v>
      </c>
      <c r="H221" s="22">
        <f t="shared" si="218"/>
        <v>12591075</v>
      </c>
      <c r="I221" s="32">
        <v>0.02</v>
      </c>
      <c r="J221" s="22">
        <f t="shared" si="219"/>
        <v>12653100</v>
      </c>
      <c r="K221" s="63">
        <v>24</v>
      </c>
      <c r="L221" s="22">
        <v>277251750</v>
      </c>
      <c r="M221" s="63">
        <v>26</v>
      </c>
      <c r="N221" s="22">
        <v>302061750</v>
      </c>
      <c r="O221" s="22">
        <f t="shared" si="220"/>
        <v>579313500</v>
      </c>
      <c r="P221" s="22">
        <f t="shared" si="221"/>
        <v>262797867.2985782</v>
      </c>
      <c r="Q221" s="61">
        <f t="shared" si="222"/>
        <v>274834009.62085307</v>
      </c>
      <c r="R221" s="61">
        <f t="shared" si="223"/>
        <v>2417740.3791469336</v>
      </c>
      <c r="S221" s="61">
        <f t="shared" si="224"/>
        <v>286314454.97630334</v>
      </c>
      <c r="T221" s="61">
        <f t="shared" si="225"/>
        <v>299427657.01421803</v>
      </c>
      <c r="U221" s="61">
        <f t="shared" si="226"/>
        <v>2634092.9857819676</v>
      </c>
      <c r="V221" s="61">
        <f t="shared" si="227"/>
        <v>5051833.3649289012</v>
      </c>
      <c r="X221" s="107"/>
      <c r="Y221" s="107"/>
      <c r="Z221" s="108"/>
      <c r="AA221" s="108"/>
    </row>
    <row r="222" spans="2:27" x14ac:dyDescent="0.2">
      <c r="B222" s="33" t="s">
        <v>220</v>
      </c>
      <c r="C222" s="6"/>
      <c r="D222" s="31"/>
      <c r="E222" s="32"/>
      <c r="F222" s="31"/>
      <c r="G222" s="6"/>
      <c r="H222" s="61"/>
      <c r="I222" s="6"/>
      <c r="J222" s="61"/>
      <c r="K222" s="34"/>
      <c r="L222" s="223"/>
      <c r="M222" s="63"/>
      <c r="N222" s="223"/>
      <c r="O222" s="22"/>
      <c r="P222" s="61"/>
      <c r="Q222" s="61"/>
      <c r="R222" s="61"/>
      <c r="S222" s="61"/>
      <c r="T222" s="61"/>
      <c r="U222" s="61"/>
      <c r="V222" s="62"/>
      <c r="X222" s="107"/>
      <c r="Y222" s="107"/>
      <c r="Z222" s="108"/>
      <c r="AA222" s="108"/>
    </row>
    <row r="223" spans="2:27" x14ac:dyDescent="0.2">
      <c r="B223" s="30" t="s">
        <v>522</v>
      </c>
      <c r="C223" s="6">
        <v>108</v>
      </c>
      <c r="D223" s="31">
        <v>17994000</v>
      </c>
      <c r="E223" s="32">
        <v>5.5E-2</v>
      </c>
      <c r="F223" s="22">
        <f t="shared" ref="F223" si="237">+ROUND((D223*E223)+D223,-3)</f>
        <v>18984000</v>
      </c>
      <c r="G223" s="32">
        <v>1.4999999999999999E-2</v>
      </c>
      <c r="H223" s="22">
        <f t="shared" ref="H223" si="238">+(F223*G223)+F223</f>
        <v>19268760</v>
      </c>
      <c r="I223" s="6"/>
      <c r="J223" s="61"/>
      <c r="K223" s="63">
        <v>8</v>
      </c>
      <c r="L223" s="22">
        <v>75936000</v>
      </c>
      <c r="M223" s="63">
        <v>8</v>
      </c>
      <c r="N223" s="22">
        <v>75936000</v>
      </c>
      <c r="O223" s="22">
        <f t="shared" ref="O223:O254" si="239">L223+N223</f>
        <v>151872000</v>
      </c>
      <c r="P223" s="22">
        <f t="shared" ref="P223:P254" si="240">L223/(1+E223)</f>
        <v>71977251.184834123</v>
      </c>
      <c r="Q223" s="61">
        <f t="shared" ref="Q223:Q254" si="241">(P223*$Q$8)+P223</f>
        <v>75273809.289099529</v>
      </c>
      <c r="R223" s="61">
        <f t="shared" ref="R223:R254" si="242">L223-Q223</f>
        <v>662190.71090047061</v>
      </c>
      <c r="S223" s="61">
        <f t="shared" ref="S223:S254" si="243">N223/(1+E223)</f>
        <v>71977251.184834123</v>
      </c>
      <c r="T223" s="61">
        <f t="shared" ref="T223:T278" si="244">(S223*$T$8)+S223</f>
        <v>75273809.289099529</v>
      </c>
      <c r="U223" s="61">
        <f t="shared" ref="U223:U254" si="245">N223-T223</f>
        <v>662190.71090047061</v>
      </c>
      <c r="V223" s="61">
        <f t="shared" ref="V223:V278" si="246">R223+U223</f>
        <v>1324381.4218009412</v>
      </c>
      <c r="X223" s="107"/>
      <c r="Y223" s="107"/>
      <c r="Z223" s="108"/>
      <c r="AA223" s="108"/>
    </row>
    <row r="224" spans="2:27" x14ac:dyDescent="0.2">
      <c r="B224" s="30" t="s">
        <v>194</v>
      </c>
      <c r="C224" s="6">
        <v>110</v>
      </c>
      <c r="D224" s="22">
        <v>16817000</v>
      </c>
      <c r="E224" s="32">
        <v>5.5E-2</v>
      </c>
      <c r="F224" s="22">
        <f t="shared" ref="F224:F278" si="247">+ROUND((D224*E224)+D224,-3)</f>
        <v>17742000</v>
      </c>
      <c r="G224" s="32">
        <v>1.4999999999999999E-2</v>
      </c>
      <c r="H224" s="22">
        <f t="shared" ref="H224:H276" si="248">+(F224*G224)+F224</f>
        <v>18008130</v>
      </c>
      <c r="I224" s="32"/>
      <c r="J224" s="22"/>
      <c r="K224" s="63">
        <v>12</v>
      </c>
      <c r="L224" s="22">
        <v>188065200</v>
      </c>
      <c r="M224" s="63">
        <v>12</v>
      </c>
      <c r="N224" s="22">
        <v>188065200</v>
      </c>
      <c r="O224" s="22">
        <f t="shared" si="239"/>
        <v>376130400</v>
      </c>
      <c r="P224" s="22">
        <f t="shared" si="240"/>
        <v>178260853.08056873</v>
      </c>
      <c r="Q224" s="61">
        <f t="shared" si="241"/>
        <v>186425200.15165877</v>
      </c>
      <c r="R224" s="61">
        <f t="shared" si="242"/>
        <v>1639999.8483412266</v>
      </c>
      <c r="S224" s="61">
        <f t="shared" si="243"/>
        <v>178260853.08056873</v>
      </c>
      <c r="T224" s="61">
        <f t="shared" si="244"/>
        <v>186425200.15165877</v>
      </c>
      <c r="U224" s="61">
        <f t="shared" si="245"/>
        <v>1639999.8483412266</v>
      </c>
      <c r="V224" s="61">
        <f t="shared" si="246"/>
        <v>3279999.6966824532</v>
      </c>
      <c r="X224" s="107"/>
      <c r="Y224" s="107"/>
      <c r="Z224" s="108"/>
      <c r="AA224" s="108"/>
    </row>
    <row r="225" spans="2:27" x14ac:dyDescent="0.2">
      <c r="B225" s="30" t="s">
        <v>523</v>
      </c>
      <c r="C225" s="6">
        <v>133</v>
      </c>
      <c r="D225" s="22">
        <v>15381000</v>
      </c>
      <c r="E225" s="32">
        <v>5.5E-2</v>
      </c>
      <c r="F225" s="22">
        <f t="shared" ref="F225" si="249">+ROUND((D225*E225)+D225,-3)</f>
        <v>16227000</v>
      </c>
      <c r="G225" s="32">
        <v>0.01</v>
      </c>
      <c r="H225" s="22">
        <f t="shared" ref="H225" si="250">+(F225*G225)+F225</f>
        <v>16389270</v>
      </c>
      <c r="I225" s="32"/>
      <c r="J225" s="22"/>
      <c r="K225" s="63">
        <v>6</v>
      </c>
      <c r="L225" s="22">
        <v>92493900</v>
      </c>
      <c r="M225" s="63">
        <v>8</v>
      </c>
      <c r="N225" s="22">
        <v>123325200</v>
      </c>
      <c r="O225" s="22">
        <f t="shared" si="239"/>
        <v>215819100</v>
      </c>
      <c r="P225" s="22">
        <f t="shared" si="240"/>
        <v>87671943.127962098</v>
      </c>
      <c r="Q225" s="61">
        <f t="shared" si="241"/>
        <v>91687318.123222768</v>
      </c>
      <c r="R225" s="61">
        <f t="shared" si="242"/>
        <v>806581.87677723169</v>
      </c>
      <c r="S225" s="61">
        <f t="shared" si="243"/>
        <v>116895924.17061612</v>
      </c>
      <c r="T225" s="61">
        <f t="shared" si="244"/>
        <v>122249757.49763034</v>
      </c>
      <c r="U225" s="61">
        <f t="shared" si="245"/>
        <v>1075442.5023696572</v>
      </c>
      <c r="V225" s="61">
        <f t="shared" si="246"/>
        <v>1882024.3791468889</v>
      </c>
      <c r="X225" s="107"/>
      <c r="Y225" s="107"/>
      <c r="Z225" s="108"/>
      <c r="AA225" s="108"/>
    </row>
    <row r="226" spans="2:27" x14ac:dyDescent="0.2">
      <c r="B226" s="30" t="s">
        <v>138</v>
      </c>
      <c r="C226" s="6">
        <v>200</v>
      </c>
      <c r="D226" s="22">
        <v>19621000</v>
      </c>
      <c r="E226" s="32">
        <v>5.5E-2</v>
      </c>
      <c r="F226" s="22">
        <f t="shared" si="247"/>
        <v>20700000</v>
      </c>
      <c r="G226" s="32">
        <v>0.01</v>
      </c>
      <c r="H226" s="22">
        <f t="shared" si="248"/>
        <v>20907000</v>
      </c>
      <c r="I226" s="32"/>
      <c r="J226" s="22"/>
      <c r="K226" s="63">
        <v>18</v>
      </c>
      <c r="L226" s="22">
        <v>341550000</v>
      </c>
      <c r="M226" s="63">
        <v>18</v>
      </c>
      <c r="N226" s="22">
        <v>341550000</v>
      </c>
      <c r="O226" s="22">
        <f t="shared" si="239"/>
        <v>683100000</v>
      </c>
      <c r="P226" s="22">
        <f t="shared" si="240"/>
        <v>323744075.82938391</v>
      </c>
      <c r="Q226" s="61">
        <f t="shared" si="241"/>
        <v>338571554.5023697</v>
      </c>
      <c r="R226" s="61">
        <f t="shared" si="242"/>
        <v>2978445.4976302981</v>
      </c>
      <c r="S226" s="61">
        <f t="shared" si="243"/>
        <v>323744075.82938391</v>
      </c>
      <c r="T226" s="61">
        <f t="shared" si="244"/>
        <v>338571554.5023697</v>
      </c>
      <c r="U226" s="61">
        <f t="shared" si="245"/>
        <v>2978445.4976302981</v>
      </c>
      <c r="V226" s="61">
        <f t="shared" si="246"/>
        <v>5956890.9952605963</v>
      </c>
      <c r="X226" s="107"/>
      <c r="Y226" s="107"/>
      <c r="Z226" s="108"/>
      <c r="AA226" s="108"/>
    </row>
    <row r="227" spans="2:27" x14ac:dyDescent="0.2">
      <c r="B227" s="30" t="s">
        <v>145</v>
      </c>
      <c r="C227" s="6">
        <v>132</v>
      </c>
      <c r="D227" s="22">
        <v>12227000</v>
      </c>
      <c r="E227" s="32">
        <v>5.5E-2</v>
      </c>
      <c r="F227" s="22">
        <f t="shared" si="247"/>
        <v>12899000</v>
      </c>
      <c r="G227" s="32">
        <v>0.01</v>
      </c>
      <c r="H227" s="22">
        <f t="shared" si="248"/>
        <v>13027990</v>
      </c>
      <c r="I227" s="32"/>
      <c r="J227" s="22"/>
      <c r="K227" s="63">
        <v>8</v>
      </c>
      <c r="L227" s="22">
        <v>98032400</v>
      </c>
      <c r="M227" s="63">
        <v>8</v>
      </c>
      <c r="N227" s="22">
        <v>99322300</v>
      </c>
      <c r="O227" s="22">
        <f t="shared" si="239"/>
        <v>197354700</v>
      </c>
      <c r="P227" s="22">
        <f t="shared" si="240"/>
        <v>92921706.161137447</v>
      </c>
      <c r="Q227" s="61">
        <f t="shared" si="241"/>
        <v>97177520.303317547</v>
      </c>
      <c r="R227" s="61">
        <f t="shared" si="242"/>
        <v>854879.69668245316</v>
      </c>
      <c r="S227" s="61">
        <f t="shared" si="243"/>
        <v>94144360.189573467</v>
      </c>
      <c r="T227" s="61">
        <f t="shared" si="244"/>
        <v>98456171.886255935</v>
      </c>
      <c r="U227" s="61">
        <f t="shared" si="245"/>
        <v>866128.11374406517</v>
      </c>
      <c r="V227" s="61">
        <f t="shared" si="246"/>
        <v>1721007.8104265183</v>
      </c>
      <c r="X227" s="107"/>
      <c r="Y227" s="107"/>
      <c r="Z227" s="108"/>
      <c r="AA227" s="108"/>
    </row>
    <row r="228" spans="2:27" x14ac:dyDescent="0.2">
      <c r="B228" s="30" t="s">
        <v>142</v>
      </c>
      <c r="C228" s="6">
        <v>190</v>
      </c>
      <c r="D228" s="22">
        <v>19622000</v>
      </c>
      <c r="E228" s="32">
        <v>5.5E-2</v>
      </c>
      <c r="F228" s="22">
        <f t="shared" si="247"/>
        <v>20701000</v>
      </c>
      <c r="G228" s="32">
        <v>0.01</v>
      </c>
      <c r="H228" s="22">
        <f t="shared" si="248"/>
        <v>20908010</v>
      </c>
      <c r="I228" s="32"/>
      <c r="J228" s="22"/>
      <c r="K228" s="63">
        <v>1</v>
      </c>
      <c r="L228" s="22">
        <v>20701000</v>
      </c>
      <c r="M228" s="63">
        <v>2</v>
      </c>
      <c r="N228" s="22">
        <v>41402000</v>
      </c>
      <c r="O228" s="22">
        <f t="shared" si="239"/>
        <v>62103000</v>
      </c>
      <c r="P228" s="22">
        <f t="shared" si="240"/>
        <v>19621800.9478673</v>
      </c>
      <c r="Q228" s="61">
        <f t="shared" si="241"/>
        <v>20520479.431279622</v>
      </c>
      <c r="R228" s="61">
        <f t="shared" si="242"/>
        <v>180520.56872037798</v>
      </c>
      <c r="S228" s="61">
        <f t="shared" si="243"/>
        <v>39243601.895734601</v>
      </c>
      <c r="T228" s="61">
        <f t="shared" si="244"/>
        <v>41040958.862559244</v>
      </c>
      <c r="U228" s="61">
        <f t="shared" si="245"/>
        <v>361041.13744075596</v>
      </c>
      <c r="V228" s="61">
        <f t="shared" si="246"/>
        <v>541561.70616113394</v>
      </c>
      <c r="X228" s="107"/>
      <c r="Y228" s="107"/>
      <c r="Z228" s="108"/>
      <c r="AA228" s="108"/>
    </row>
    <row r="229" spans="2:27" x14ac:dyDescent="0.2">
      <c r="B229" s="30" t="s">
        <v>397</v>
      </c>
      <c r="C229" s="6">
        <v>268</v>
      </c>
      <c r="D229" s="22">
        <v>39244000</v>
      </c>
      <c r="E229" s="32">
        <v>5.5E-2</v>
      </c>
      <c r="F229" s="22">
        <f t="shared" si="247"/>
        <v>41402000</v>
      </c>
      <c r="G229" s="32">
        <v>0.01</v>
      </c>
      <c r="H229" s="22">
        <f t="shared" si="248"/>
        <v>41816020</v>
      </c>
      <c r="I229" s="32"/>
      <c r="J229" s="22"/>
      <c r="K229" s="63">
        <v>0</v>
      </c>
      <c r="L229" s="22">
        <v>0</v>
      </c>
      <c r="M229" s="63">
        <v>5</v>
      </c>
      <c r="N229" s="22">
        <v>207010000</v>
      </c>
      <c r="O229" s="22">
        <f t="shared" si="239"/>
        <v>207010000</v>
      </c>
      <c r="P229" s="22">
        <f t="shared" si="240"/>
        <v>0</v>
      </c>
      <c r="Q229" s="61">
        <f t="shared" si="241"/>
        <v>0</v>
      </c>
      <c r="R229" s="61">
        <f t="shared" si="242"/>
        <v>0</v>
      </c>
      <c r="S229" s="61">
        <f t="shared" si="243"/>
        <v>196218009.47867301</v>
      </c>
      <c r="T229" s="61">
        <f t="shared" si="244"/>
        <v>205204794.31279624</v>
      </c>
      <c r="U229" s="61">
        <f t="shared" si="245"/>
        <v>1805205.6872037649</v>
      </c>
      <c r="V229" s="61">
        <f t="shared" si="246"/>
        <v>1805205.6872037649</v>
      </c>
      <c r="X229" s="107"/>
      <c r="Y229" s="107"/>
      <c r="Z229" s="108"/>
      <c r="AA229" s="108"/>
    </row>
    <row r="230" spans="2:27" x14ac:dyDescent="0.2">
      <c r="B230" s="30" t="s">
        <v>398</v>
      </c>
      <c r="C230" s="6">
        <v>268</v>
      </c>
      <c r="D230" s="22">
        <v>19622000</v>
      </c>
      <c r="E230" s="32">
        <v>5.5E-2</v>
      </c>
      <c r="F230" s="22">
        <f t="shared" ref="F230:F231" si="251">+ROUND((D230*E230)+D230,-3)</f>
        <v>20701000</v>
      </c>
      <c r="G230" s="32">
        <v>0.01</v>
      </c>
      <c r="H230" s="22">
        <f t="shared" ref="H230:H231" si="252">+(F230*G230)+F230</f>
        <v>20908010</v>
      </c>
      <c r="I230" s="32"/>
      <c r="J230" s="22"/>
      <c r="K230" s="63">
        <v>12</v>
      </c>
      <c r="L230" s="22">
        <v>238061500</v>
      </c>
      <c r="M230" s="63">
        <v>16</v>
      </c>
      <c r="N230" s="22">
        <v>308444900</v>
      </c>
      <c r="O230" s="22">
        <f t="shared" si="239"/>
        <v>546506400</v>
      </c>
      <c r="P230" s="22">
        <f t="shared" si="240"/>
        <v>225650710.90047395</v>
      </c>
      <c r="Q230" s="61">
        <f t="shared" si="241"/>
        <v>235985513.45971566</v>
      </c>
      <c r="R230" s="61">
        <f t="shared" si="242"/>
        <v>2075986.5402843356</v>
      </c>
      <c r="S230" s="61">
        <f t="shared" si="243"/>
        <v>292364834.12322277</v>
      </c>
      <c r="T230" s="61">
        <f t="shared" si="244"/>
        <v>305755143.52606636</v>
      </c>
      <c r="U230" s="61">
        <f t="shared" si="245"/>
        <v>2689756.4739336371</v>
      </c>
      <c r="V230" s="61">
        <f t="shared" si="246"/>
        <v>4765743.0142179728</v>
      </c>
      <c r="X230" s="107"/>
      <c r="Y230" s="107"/>
      <c r="Z230" s="108"/>
      <c r="AA230" s="108"/>
    </row>
    <row r="231" spans="2:27" x14ac:dyDescent="0.2">
      <c r="B231" s="30" t="s">
        <v>511</v>
      </c>
      <c r="C231" s="6">
        <v>269</v>
      </c>
      <c r="D231" s="22">
        <v>39244000</v>
      </c>
      <c r="E231" s="32">
        <v>5.5E-2</v>
      </c>
      <c r="F231" s="22">
        <f t="shared" si="251"/>
        <v>41402000</v>
      </c>
      <c r="G231" s="32">
        <v>0.01</v>
      </c>
      <c r="H231" s="22">
        <f t="shared" si="252"/>
        <v>41816020</v>
      </c>
      <c r="I231" s="32"/>
      <c r="J231" s="22"/>
      <c r="K231" s="63">
        <v>4</v>
      </c>
      <c r="L231" s="22">
        <v>165608000</v>
      </c>
      <c r="M231" s="63">
        <v>0</v>
      </c>
      <c r="N231" s="22">
        <v>0</v>
      </c>
      <c r="O231" s="22">
        <f t="shared" si="239"/>
        <v>165608000</v>
      </c>
      <c r="P231" s="22">
        <f t="shared" si="240"/>
        <v>156974407.5829384</v>
      </c>
      <c r="Q231" s="61">
        <f t="shared" si="241"/>
        <v>164163835.45023698</v>
      </c>
      <c r="R231" s="61">
        <f t="shared" si="242"/>
        <v>1444164.5497630239</v>
      </c>
      <c r="S231" s="61">
        <f t="shared" si="243"/>
        <v>0</v>
      </c>
      <c r="T231" s="61">
        <f t="shared" si="244"/>
        <v>0</v>
      </c>
      <c r="U231" s="61">
        <f t="shared" si="245"/>
        <v>0</v>
      </c>
      <c r="V231" s="61">
        <f t="shared" si="246"/>
        <v>1444164.5497630239</v>
      </c>
      <c r="X231" s="107"/>
      <c r="Y231" s="107"/>
      <c r="Z231" s="108"/>
      <c r="AA231" s="108"/>
    </row>
    <row r="232" spans="2:27" x14ac:dyDescent="0.2">
      <c r="B232" s="30" t="s">
        <v>512</v>
      </c>
      <c r="C232" s="6">
        <v>269</v>
      </c>
      <c r="D232" s="22">
        <v>19622000</v>
      </c>
      <c r="E232" s="32">
        <v>5.5E-2</v>
      </c>
      <c r="F232" s="22">
        <f t="shared" ref="F232" si="253">+ROUND((D232*E232)+D232,-3)</f>
        <v>20701000</v>
      </c>
      <c r="G232" s="32">
        <v>0.01</v>
      </c>
      <c r="H232" s="22">
        <f t="shared" ref="H232" si="254">+(F232*G232)+F232</f>
        <v>20908010</v>
      </c>
      <c r="I232" s="32"/>
      <c r="J232" s="22"/>
      <c r="K232" s="63">
        <v>4</v>
      </c>
      <c r="L232" s="22">
        <v>62103000</v>
      </c>
      <c r="M232" s="63">
        <v>4</v>
      </c>
      <c r="N232" s="22">
        <v>74523600</v>
      </c>
      <c r="O232" s="22">
        <f t="shared" si="239"/>
        <v>136626600</v>
      </c>
      <c r="P232" s="22">
        <f t="shared" si="240"/>
        <v>58865402.843601897</v>
      </c>
      <c r="Q232" s="61">
        <f t="shared" si="241"/>
        <v>61561438.293838866</v>
      </c>
      <c r="R232" s="61">
        <f t="shared" si="242"/>
        <v>541561.70616113394</v>
      </c>
      <c r="S232" s="61">
        <f t="shared" si="243"/>
        <v>70638483.412322283</v>
      </c>
      <c r="T232" s="61">
        <f t="shared" si="244"/>
        <v>73873725.952606648</v>
      </c>
      <c r="U232" s="61">
        <f t="shared" si="245"/>
        <v>649874.04739335179</v>
      </c>
      <c r="V232" s="61">
        <f t="shared" si="246"/>
        <v>1191435.7535544857</v>
      </c>
      <c r="X232" s="107"/>
      <c r="Y232" s="107"/>
      <c r="Z232" s="108"/>
      <c r="AA232" s="108"/>
    </row>
    <row r="233" spans="2:27" x14ac:dyDescent="0.2">
      <c r="B233" s="30" t="s">
        <v>525</v>
      </c>
      <c r="C233" s="6">
        <v>114</v>
      </c>
      <c r="D233" s="22">
        <v>19622000</v>
      </c>
      <c r="E233" s="32">
        <v>5.5E-2</v>
      </c>
      <c r="F233" s="22">
        <f t="shared" ref="F233" si="255">+ROUND((D233*E233)+D233,-3)</f>
        <v>20701000</v>
      </c>
      <c r="G233" s="32">
        <v>0.01</v>
      </c>
      <c r="H233" s="22">
        <f t="shared" ref="H233" si="256">+(F233*G233)+F233</f>
        <v>20908010</v>
      </c>
      <c r="I233" s="32"/>
      <c r="J233" s="22"/>
      <c r="K233" s="63">
        <v>2</v>
      </c>
      <c r="L233" s="22">
        <v>39331900</v>
      </c>
      <c r="M233" s="63">
        <v>3</v>
      </c>
      <c r="N233" s="22">
        <v>57962800</v>
      </c>
      <c r="O233" s="22">
        <f t="shared" si="239"/>
        <v>97294700</v>
      </c>
      <c r="P233" s="22">
        <f t="shared" si="240"/>
        <v>37281421.800947867</v>
      </c>
      <c r="Q233" s="61">
        <f t="shared" si="241"/>
        <v>38988910.919431277</v>
      </c>
      <c r="R233" s="61">
        <f t="shared" si="242"/>
        <v>342989.08056872338</v>
      </c>
      <c r="S233" s="61">
        <f t="shared" si="243"/>
        <v>54941042.654028438</v>
      </c>
      <c r="T233" s="61">
        <f t="shared" si="244"/>
        <v>57457342.407582939</v>
      </c>
      <c r="U233" s="61">
        <f t="shared" si="245"/>
        <v>505457.59241706133</v>
      </c>
      <c r="V233" s="61">
        <f t="shared" si="246"/>
        <v>848446.67298578471</v>
      </c>
      <c r="X233" s="107"/>
      <c r="Y233" s="107"/>
      <c r="Z233" s="108"/>
      <c r="AA233" s="108"/>
    </row>
    <row r="234" spans="2:27" x14ac:dyDescent="0.2">
      <c r="B234" s="30" t="s">
        <v>578</v>
      </c>
      <c r="C234" s="6">
        <v>132</v>
      </c>
      <c r="D234" s="22">
        <v>45509000</v>
      </c>
      <c r="E234" s="32">
        <v>5.5E-2</v>
      </c>
      <c r="F234" s="22">
        <f t="shared" si="247"/>
        <v>48012000</v>
      </c>
      <c r="G234" s="32">
        <v>0.01</v>
      </c>
      <c r="H234" s="22">
        <f t="shared" si="248"/>
        <v>48492120</v>
      </c>
      <c r="I234" s="32"/>
      <c r="J234" s="22"/>
      <c r="K234" s="63">
        <v>1</v>
      </c>
      <c r="L234" s="22">
        <v>48012000</v>
      </c>
      <c r="M234" s="63">
        <v>1</v>
      </c>
      <c r="N234" s="22">
        <v>48012000</v>
      </c>
      <c r="O234" s="22">
        <f t="shared" si="239"/>
        <v>96024000</v>
      </c>
      <c r="P234" s="22">
        <f t="shared" si="240"/>
        <v>45509004.739336498</v>
      </c>
      <c r="Q234" s="61">
        <f t="shared" si="241"/>
        <v>47593317.15639811</v>
      </c>
      <c r="R234" s="61">
        <f t="shared" si="242"/>
        <v>418682.84360188991</v>
      </c>
      <c r="S234" s="61">
        <f t="shared" si="243"/>
        <v>45509004.739336498</v>
      </c>
      <c r="T234" s="61">
        <f t="shared" si="244"/>
        <v>47593317.15639811</v>
      </c>
      <c r="U234" s="61">
        <f t="shared" si="245"/>
        <v>418682.84360188991</v>
      </c>
      <c r="V234" s="61">
        <f t="shared" si="246"/>
        <v>837365.68720377982</v>
      </c>
      <c r="X234" s="107"/>
      <c r="Y234" s="107"/>
      <c r="Z234" s="108"/>
      <c r="AA234" s="108"/>
    </row>
    <row r="235" spans="2:27" x14ac:dyDescent="0.2">
      <c r="B235" s="30" t="s">
        <v>144</v>
      </c>
      <c r="C235" s="6">
        <v>111</v>
      </c>
      <c r="D235" s="22">
        <v>12227000</v>
      </c>
      <c r="E235" s="32">
        <v>5.5E-2</v>
      </c>
      <c r="F235" s="22">
        <f t="shared" si="247"/>
        <v>12899000</v>
      </c>
      <c r="G235" s="32">
        <v>0.01</v>
      </c>
      <c r="H235" s="22">
        <f t="shared" si="248"/>
        <v>13027990</v>
      </c>
      <c r="I235" s="32"/>
      <c r="J235" s="22"/>
      <c r="K235" s="63">
        <v>8</v>
      </c>
      <c r="L235" s="22">
        <v>96742500</v>
      </c>
      <c r="M235" s="63">
        <v>8</v>
      </c>
      <c r="N235" s="22">
        <v>98032400</v>
      </c>
      <c r="O235" s="22">
        <f t="shared" si="239"/>
        <v>194774900</v>
      </c>
      <c r="P235" s="22">
        <f t="shared" si="240"/>
        <v>91699052.132701427</v>
      </c>
      <c r="Q235" s="61">
        <f t="shared" si="241"/>
        <v>95898868.720379159</v>
      </c>
      <c r="R235" s="61">
        <f t="shared" si="242"/>
        <v>843631.27962084115</v>
      </c>
      <c r="S235" s="61">
        <f t="shared" si="243"/>
        <v>92921706.161137447</v>
      </c>
      <c r="T235" s="61">
        <f t="shared" si="244"/>
        <v>97177520.303317547</v>
      </c>
      <c r="U235" s="61">
        <f t="shared" si="245"/>
        <v>854879.69668245316</v>
      </c>
      <c r="V235" s="61">
        <f t="shared" si="246"/>
        <v>1698510.9763032943</v>
      </c>
      <c r="X235" s="107"/>
      <c r="Y235" s="107"/>
      <c r="Z235" s="108"/>
      <c r="AA235" s="108"/>
    </row>
    <row r="236" spans="2:27" x14ac:dyDescent="0.2">
      <c r="B236" s="30" t="s">
        <v>579</v>
      </c>
      <c r="C236" s="6">
        <v>129</v>
      </c>
      <c r="D236" s="22">
        <v>12227000</v>
      </c>
      <c r="E236" s="32">
        <v>5.5E-2</v>
      </c>
      <c r="F236" s="22">
        <f t="shared" si="247"/>
        <v>12899000</v>
      </c>
      <c r="G236" s="32">
        <v>0.01</v>
      </c>
      <c r="H236" s="22">
        <f t="shared" si="248"/>
        <v>13027990</v>
      </c>
      <c r="I236" s="32"/>
      <c r="J236" s="22"/>
      <c r="K236" s="63">
        <v>8</v>
      </c>
      <c r="L236" s="22">
        <v>99322300</v>
      </c>
      <c r="M236" s="63">
        <v>8</v>
      </c>
      <c r="N236" s="22">
        <v>99322300</v>
      </c>
      <c r="O236" s="22">
        <f t="shared" si="239"/>
        <v>198644600</v>
      </c>
      <c r="P236" s="22">
        <f t="shared" si="240"/>
        <v>94144360.189573467</v>
      </c>
      <c r="Q236" s="61">
        <f t="shared" si="241"/>
        <v>98456171.886255935</v>
      </c>
      <c r="R236" s="61">
        <f t="shared" si="242"/>
        <v>866128.11374406517</v>
      </c>
      <c r="S236" s="61">
        <f t="shared" si="243"/>
        <v>94144360.189573467</v>
      </c>
      <c r="T236" s="61">
        <f t="shared" si="244"/>
        <v>98456171.886255935</v>
      </c>
      <c r="U236" s="61">
        <f t="shared" si="245"/>
        <v>866128.11374406517</v>
      </c>
      <c r="V236" s="61">
        <f t="shared" si="246"/>
        <v>1732256.2274881303</v>
      </c>
      <c r="X236" s="107"/>
      <c r="Y236" s="107"/>
      <c r="Z236" s="108"/>
      <c r="AA236" s="108"/>
    </row>
    <row r="237" spans="2:27" x14ac:dyDescent="0.2">
      <c r="B237" s="30" t="s">
        <v>195</v>
      </c>
      <c r="C237" s="6">
        <v>187</v>
      </c>
      <c r="D237" s="22">
        <v>39244000</v>
      </c>
      <c r="E237" s="32">
        <v>5.5E-2</v>
      </c>
      <c r="F237" s="22">
        <f t="shared" si="247"/>
        <v>41402000</v>
      </c>
      <c r="G237" s="32">
        <v>0.01</v>
      </c>
      <c r="H237" s="22">
        <f t="shared" si="248"/>
        <v>41816020</v>
      </c>
      <c r="I237" s="32"/>
      <c r="J237" s="22"/>
      <c r="K237" s="63">
        <v>0</v>
      </c>
      <c r="L237" s="22">
        <v>0</v>
      </c>
      <c r="M237" s="63">
        <v>6</v>
      </c>
      <c r="N237" s="22">
        <v>248412000</v>
      </c>
      <c r="O237" s="22">
        <f t="shared" si="239"/>
        <v>248412000</v>
      </c>
      <c r="P237" s="22">
        <f t="shared" si="240"/>
        <v>0</v>
      </c>
      <c r="Q237" s="61">
        <f t="shared" si="241"/>
        <v>0</v>
      </c>
      <c r="R237" s="61">
        <f t="shared" si="242"/>
        <v>0</v>
      </c>
      <c r="S237" s="61">
        <f t="shared" si="243"/>
        <v>235461611.37440759</v>
      </c>
      <c r="T237" s="61">
        <f t="shared" si="244"/>
        <v>246245753.17535546</v>
      </c>
      <c r="U237" s="61">
        <f t="shared" si="245"/>
        <v>2166246.8246445358</v>
      </c>
      <c r="V237" s="61">
        <f t="shared" si="246"/>
        <v>2166246.8246445358</v>
      </c>
      <c r="X237" s="107"/>
      <c r="Y237" s="107"/>
      <c r="Z237" s="108"/>
      <c r="AA237" s="108"/>
    </row>
    <row r="238" spans="2:27" x14ac:dyDescent="0.2">
      <c r="B238" s="30" t="s">
        <v>399</v>
      </c>
      <c r="C238" s="6">
        <v>193</v>
      </c>
      <c r="D238" s="22">
        <v>39244000</v>
      </c>
      <c r="E238" s="32">
        <v>5.5E-2</v>
      </c>
      <c r="F238" s="22">
        <f t="shared" si="247"/>
        <v>41402000</v>
      </c>
      <c r="G238" s="32">
        <v>0.01</v>
      </c>
      <c r="H238" s="22">
        <f t="shared" si="248"/>
        <v>41816020</v>
      </c>
      <c r="I238" s="32"/>
      <c r="J238" s="22"/>
      <c r="K238" s="63">
        <v>6</v>
      </c>
      <c r="L238" s="22">
        <v>248412000</v>
      </c>
      <c r="M238" s="63">
        <v>3</v>
      </c>
      <c r="N238" s="22">
        <v>124206000</v>
      </c>
      <c r="O238" s="22">
        <f t="shared" si="239"/>
        <v>372618000</v>
      </c>
      <c r="P238" s="22">
        <f t="shared" si="240"/>
        <v>235461611.37440759</v>
      </c>
      <c r="Q238" s="61">
        <f t="shared" si="241"/>
        <v>246245753.17535546</v>
      </c>
      <c r="R238" s="61">
        <f t="shared" si="242"/>
        <v>2166246.8246445358</v>
      </c>
      <c r="S238" s="61">
        <f t="shared" si="243"/>
        <v>117730805.68720379</v>
      </c>
      <c r="T238" s="61">
        <f t="shared" si="244"/>
        <v>123122876.58767773</v>
      </c>
      <c r="U238" s="61">
        <f t="shared" si="245"/>
        <v>1083123.4123222679</v>
      </c>
      <c r="V238" s="61">
        <f t="shared" si="246"/>
        <v>3249370.2369668037</v>
      </c>
      <c r="X238" s="107"/>
      <c r="Y238" s="107"/>
      <c r="Z238" s="108"/>
      <c r="AA238" s="108"/>
    </row>
    <row r="239" spans="2:27" x14ac:dyDescent="0.2">
      <c r="B239" s="30" t="s">
        <v>400</v>
      </c>
      <c r="C239" s="6">
        <v>193</v>
      </c>
      <c r="D239" s="22">
        <v>19622000</v>
      </c>
      <c r="E239" s="32">
        <v>5.5E-2</v>
      </c>
      <c r="F239" s="22">
        <f t="shared" ref="F239" si="257">+ROUND((D239*E239)+D239,-3)</f>
        <v>20701000</v>
      </c>
      <c r="G239" s="32">
        <v>0.01</v>
      </c>
      <c r="H239" s="22">
        <f t="shared" ref="H239" si="258">+(F239*G239)+F239</f>
        <v>20908010</v>
      </c>
      <c r="I239" s="32"/>
      <c r="J239" s="22"/>
      <c r="K239" s="63">
        <v>16</v>
      </c>
      <c r="L239" s="22">
        <v>316725300</v>
      </c>
      <c r="M239" s="63">
        <v>21</v>
      </c>
      <c r="N239" s="22">
        <v>424370500</v>
      </c>
      <c r="O239" s="22">
        <f t="shared" si="239"/>
        <v>741095800</v>
      </c>
      <c r="P239" s="22">
        <f t="shared" si="240"/>
        <v>300213554.5023697</v>
      </c>
      <c r="Q239" s="61">
        <f t="shared" si="241"/>
        <v>313963335.29857826</v>
      </c>
      <c r="R239" s="61">
        <f t="shared" si="242"/>
        <v>2761964.7014217377</v>
      </c>
      <c r="S239" s="61">
        <f t="shared" si="243"/>
        <v>402246919.43127966</v>
      </c>
      <c r="T239" s="61">
        <f t="shared" si="244"/>
        <v>420669828.34123224</v>
      </c>
      <c r="U239" s="61">
        <f t="shared" si="245"/>
        <v>3700671.6587677598</v>
      </c>
      <c r="V239" s="61">
        <f t="shared" si="246"/>
        <v>6462636.3601894975</v>
      </c>
      <c r="X239" s="107"/>
      <c r="Y239" s="107"/>
      <c r="Z239" s="108"/>
      <c r="AA239" s="108"/>
    </row>
    <row r="240" spans="2:27" x14ac:dyDescent="0.2">
      <c r="B240" s="30" t="s">
        <v>137</v>
      </c>
      <c r="C240" s="6">
        <v>261</v>
      </c>
      <c r="D240" s="22">
        <v>39244000</v>
      </c>
      <c r="E240" s="32">
        <v>5.5E-2</v>
      </c>
      <c r="F240" s="22">
        <f t="shared" si="247"/>
        <v>41402000</v>
      </c>
      <c r="G240" s="32">
        <v>0.01</v>
      </c>
      <c r="H240" s="22">
        <f t="shared" si="248"/>
        <v>41816020</v>
      </c>
      <c r="I240" s="32"/>
      <c r="J240" s="22"/>
      <c r="K240" s="63">
        <v>0</v>
      </c>
      <c r="L240" s="22">
        <v>0</v>
      </c>
      <c r="M240" s="63">
        <v>15</v>
      </c>
      <c r="N240" s="22">
        <v>579628000</v>
      </c>
      <c r="O240" s="22">
        <f t="shared" si="239"/>
        <v>579628000</v>
      </c>
      <c r="P240" s="22">
        <f t="shared" si="240"/>
        <v>0</v>
      </c>
      <c r="Q240" s="61">
        <f t="shared" si="241"/>
        <v>0</v>
      </c>
      <c r="R240" s="61">
        <f t="shared" si="242"/>
        <v>0</v>
      </c>
      <c r="S240" s="61">
        <f t="shared" si="243"/>
        <v>549410426.5402844</v>
      </c>
      <c r="T240" s="61">
        <f t="shared" si="244"/>
        <v>574573424.07582939</v>
      </c>
      <c r="U240" s="61">
        <f t="shared" si="245"/>
        <v>5054575.9241706133</v>
      </c>
      <c r="V240" s="61">
        <f t="shared" si="246"/>
        <v>5054575.9241706133</v>
      </c>
      <c r="X240" s="107"/>
      <c r="Y240" s="107"/>
      <c r="Z240" s="108"/>
      <c r="AA240" s="108"/>
    </row>
    <row r="241" spans="2:27" x14ac:dyDescent="0.2">
      <c r="B241" s="30" t="s">
        <v>524</v>
      </c>
      <c r="C241" s="6">
        <v>127</v>
      </c>
      <c r="D241" s="22">
        <v>19621000</v>
      </c>
      <c r="E241" s="32">
        <v>5.5E-2</v>
      </c>
      <c r="F241" s="22">
        <f t="shared" si="247"/>
        <v>20700000</v>
      </c>
      <c r="G241" s="32">
        <v>0.01</v>
      </c>
      <c r="H241" s="22">
        <f t="shared" si="248"/>
        <v>20907000</v>
      </c>
      <c r="I241" s="32"/>
      <c r="J241" s="22"/>
      <c r="K241" s="63">
        <v>2</v>
      </c>
      <c r="L241" s="22">
        <v>41400000</v>
      </c>
      <c r="M241" s="63">
        <v>2</v>
      </c>
      <c r="N241" s="22">
        <v>41400000</v>
      </c>
      <c r="O241" s="22">
        <f t="shared" si="239"/>
        <v>82800000</v>
      </c>
      <c r="P241" s="22">
        <f t="shared" si="240"/>
        <v>39241706.161137447</v>
      </c>
      <c r="Q241" s="61">
        <f t="shared" si="241"/>
        <v>41038976.303317539</v>
      </c>
      <c r="R241" s="61">
        <f t="shared" si="242"/>
        <v>361023.69668246061</v>
      </c>
      <c r="S241" s="61">
        <f t="shared" si="243"/>
        <v>39241706.161137447</v>
      </c>
      <c r="T241" s="61">
        <f t="shared" si="244"/>
        <v>41038976.303317539</v>
      </c>
      <c r="U241" s="61">
        <f t="shared" si="245"/>
        <v>361023.69668246061</v>
      </c>
      <c r="V241" s="61">
        <f t="shared" si="246"/>
        <v>722047.39336492121</v>
      </c>
      <c r="X241" s="107"/>
      <c r="Y241" s="107"/>
      <c r="Z241" s="108"/>
      <c r="AA241" s="108"/>
    </row>
    <row r="242" spans="2:27" x14ac:dyDescent="0.2">
      <c r="B242" s="30" t="s">
        <v>401</v>
      </c>
      <c r="C242" s="6">
        <v>131</v>
      </c>
      <c r="D242" s="22">
        <v>24455000</v>
      </c>
      <c r="E242" s="32">
        <v>5.5E-2</v>
      </c>
      <c r="F242" s="22">
        <f t="shared" si="247"/>
        <v>25800000</v>
      </c>
      <c r="G242" s="32">
        <v>0.01</v>
      </c>
      <c r="H242" s="22">
        <f t="shared" si="248"/>
        <v>26058000</v>
      </c>
      <c r="I242" s="32"/>
      <c r="J242" s="22"/>
      <c r="K242" s="63">
        <v>0</v>
      </c>
      <c r="L242" s="22">
        <v>0</v>
      </c>
      <c r="M242" s="63">
        <v>0</v>
      </c>
      <c r="N242" s="22">
        <v>0</v>
      </c>
      <c r="O242" s="22">
        <f t="shared" si="239"/>
        <v>0</v>
      </c>
      <c r="P242" s="22">
        <f t="shared" si="240"/>
        <v>0</v>
      </c>
      <c r="Q242" s="61">
        <f t="shared" si="241"/>
        <v>0</v>
      </c>
      <c r="R242" s="61">
        <f t="shared" si="242"/>
        <v>0</v>
      </c>
      <c r="S242" s="61">
        <f t="shared" si="243"/>
        <v>0</v>
      </c>
      <c r="T242" s="61">
        <f t="shared" si="244"/>
        <v>0</v>
      </c>
      <c r="U242" s="61">
        <f t="shared" si="245"/>
        <v>0</v>
      </c>
      <c r="V242" s="61">
        <f t="shared" si="246"/>
        <v>0</v>
      </c>
      <c r="X242" s="107"/>
      <c r="Y242" s="107"/>
      <c r="Z242" s="108"/>
      <c r="AA242" s="108"/>
    </row>
    <row r="243" spans="2:27" x14ac:dyDescent="0.2">
      <c r="B243" s="30" t="s">
        <v>402</v>
      </c>
      <c r="C243" s="6">
        <v>131</v>
      </c>
      <c r="D243" s="22">
        <v>12227000</v>
      </c>
      <c r="E243" s="32">
        <v>5.5E-2</v>
      </c>
      <c r="F243" s="22">
        <f t="shared" ref="F243" si="259">+ROUND((D243*E243)+D243,-3)</f>
        <v>12899000</v>
      </c>
      <c r="G243" s="32">
        <v>0.01</v>
      </c>
      <c r="H243" s="22">
        <f t="shared" ref="H243" si="260">+(F243*G243)+F243</f>
        <v>13027990</v>
      </c>
      <c r="I243" s="32"/>
      <c r="J243" s="22"/>
      <c r="K243" s="63">
        <v>7</v>
      </c>
      <c r="L243" s="22">
        <v>90293000</v>
      </c>
      <c r="M243" s="63">
        <v>7</v>
      </c>
      <c r="N243" s="22">
        <v>90293000</v>
      </c>
      <c r="O243" s="22">
        <f t="shared" si="239"/>
        <v>180586000</v>
      </c>
      <c r="P243" s="22">
        <f t="shared" si="240"/>
        <v>85585781.990521327</v>
      </c>
      <c r="Q243" s="61">
        <f t="shared" si="241"/>
        <v>89505610.805687204</v>
      </c>
      <c r="R243" s="61">
        <f t="shared" si="242"/>
        <v>787389.194312796</v>
      </c>
      <c r="S243" s="61">
        <f t="shared" si="243"/>
        <v>85585781.990521327</v>
      </c>
      <c r="T243" s="61">
        <f t="shared" si="244"/>
        <v>89505610.805687204</v>
      </c>
      <c r="U243" s="61">
        <f t="shared" si="245"/>
        <v>787389.194312796</v>
      </c>
      <c r="V243" s="61">
        <f t="shared" si="246"/>
        <v>1574778.388625592</v>
      </c>
      <c r="X243" s="107"/>
      <c r="Y243" s="107"/>
      <c r="Z243" s="108"/>
      <c r="AA243" s="108"/>
    </row>
    <row r="244" spans="2:27" x14ac:dyDescent="0.2">
      <c r="B244" s="30" t="s">
        <v>513</v>
      </c>
      <c r="C244" s="6">
        <v>196</v>
      </c>
      <c r="D244" s="22">
        <v>39244000</v>
      </c>
      <c r="E244" s="32">
        <v>5.5E-2</v>
      </c>
      <c r="F244" s="22">
        <f t="shared" si="247"/>
        <v>41402000</v>
      </c>
      <c r="G244" s="32">
        <v>0.01</v>
      </c>
      <c r="H244" s="22">
        <f t="shared" si="248"/>
        <v>41816020</v>
      </c>
      <c r="I244" s="32"/>
      <c r="J244" s="22"/>
      <c r="K244" s="63">
        <v>8</v>
      </c>
      <c r="L244" s="22">
        <v>331216000</v>
      </c>
      <c r="M244" s="63">
        <v>5</v>
      </c>
      <c r="N244" s="22">
        <v>207010000</v>
      </c>
      <c r="O244" s="22">
        <f t="shared" si="239"/>
        <v>538226000</v>
      </c>
      <c r="P244" s="22">
        <f t="shared" si="240"/>
        <v>313948815.16587681</v>
      </c>
      <c r="Q244" s="61">
        <f t="shared" si="241"/>
        <v>328327670.90047395</v>
      </c>
      <c r="R244" s="61">
        <f t="shared" si="242"/>
        <v>2888329.0995260477</v>
      </c>
      <c r="S244" s="61">
        <f t="shared" si="243"/>
        <v>196218009.47867301</v>
      </c>
      <c r="T244" s="61">
        <f t="shared" si="244"/>
        <v>205204794.31279624</v>
      </c>
      <c r="U244" s="61">
        <f t="shared" si="245"/>
        <v>1805205.6872037649</v>
      </c>
      <c r="V244" s="61">
        <f t="shared" si="246"/>
        <v>4693534.7867298126</v>
      </c>
      <c r="X244" s="107"/>
      <c r="Y244" s="107"/>
      <c r="Z244" s="108"/>
      <c r="AA244" s="108"/>
    </row>
    <row r="245" spans="2:27" x14ac:dyDescent="0.2">
      <c r="B245" s="30" t="s">
        <v>514</v>
      </c>
      <c r="C245" s="6">
        <v>196</v>
      </c>
      <c r="D245" s="22">
        <v>19622000</v>
      </c>
      <c r="E245" s="32">
        <v>5.5E-2</v>
      </c>
      <c r="F245" s="22">
        <f t="shared" ref="F245:F246" si="261">+ROUND((D245*E245)+D245,-3)</f>
        <v>20701000</v>
      </c>
      <c r="G245" s="32">
        <v>0.01</v>
      </c>
      <c r="H245" s="22">
        <f t="shared" ref="H245:H246" si="262">+(F245*G245)+F245</f>
        <v>20908010</v>
      </c>
      <c r="I245" s="32"/>
      <c r="J245" s="22"/>
      <c r="K245" s="63">
        <v>12</v>
      </c>
      <c r="L245" s="22">
        <v>240131600</v>
      </c>
      <c r="M245" s="63">
        <v>18</v>
      </c>
      <c r="N245" s="22">
        <v>351917000</v>
      </c>
      <c r="O245" s="22">
        <f t="shared" si="239"/>
        <v>592048600</v>
      </c>
      <c r="P245" s="22">
        <f t="shared" si="240"/>
        <v>227612890.99526069</v>
      </c>
      <c r="Q245" s="61">
        <f t="shared" si="241"/>
        <v>238037561.40284362</v>
      </c>
      <c r="R245" s="61">
        <f t="shared" si="242"/>
        <v>2094038.5971563756</v>
      </c>
      <c r="S245" s="61">
        <f t="shared" si="243"/>
        <v>333570616.11374408</v>
      </c>
      <c r="T245" s="61">
        <f t="shared" si="244"/>
        <v>348848150.33175355</v>
      </c>
      <c r="U245" s="61">
        <f t="shared" si="245"/>
        <v>3068849.668246448</v>
      </c>
      <c r="V245" s="61">
        <f t="shared" si="246"/>
        <v>5162888.2654028237</v>
      </c>
      <c r="X245" s="107"/>
      <c r="Y245" s="107"/>
      <c r="Z245" s="108"/>
      <c r="AA245" s="108"/>
    </row>
    <row r="246" spans="2:27" x14ac:dyDescent="0.2">
      <c r="B246" s="30" t="s">
        <v>580</v>
      </c>
      <c r="C246" s="6">
        <v>190</v>
      </c>
      <c r="D246" s="22">
        <v>19621000</v>
      </c>
      <c r="E246" s="32">
        <v>5.5E-2</v>
      </c>
      <c r="F246" s="22">
        <f t="shared" si="261"/>
        <v>20700000</v>
      </c>
      <c r="G246" s="32">
        <v>0.01</v>
      </c>
      <c r="H246" s="22">
        <f t="shared" si="262"/>
        <v>20907000</v>
      </c>
      <c r="I246" s="32"/>
      <c r="J246" s="22"/>
      <c r="K246" s="63">
        <v>6</v>
      </c>
      <c r="L246" s="22">
        <v>124200000</v>
      </c>
      <c r="M246" s="63">
        <v>9</v>
      </c>
      <c r="N246" s="22">
        <v>186300000</v>
      </c>
      <c r="O246" s="22">
        <f t="shared" si="239"/>
        <v>310500000</v>
      </c>
      <c r="P246" s="22">
        <f t="shared" si="240"/>
        <v>117725118.48341233</v>
      </c>
      <c r="Q246" s="61">
        <f t="shared" si="241"/>
        <v>123116928.90995261</v>
      </c>
      <c r="R246" s="61">
        <f t="shared" si="242"/>
        <v>1083071.0900473893</v>
      </c>
      <c r="S246" s="61">
        <f t="shared" si="243"/>
        <v>176587677.72511849</v>
      </c>
      <c r="T246" s="61">
        <f t="shared" si="244"/>
        <v>184675393.3649289</v>
      </c>
      <c r="U246" s="61">
        <f t="shared" si="245"/>
        <v>1624606.6350710988</v>
      </c>
      <c r="V246" s="61">
        <f t="shared" si="246"/>
        <v>2707677.7251184881</v>
      </c>
      <c r="X246" s="107"/>
      <c r="Y246" s="107"/>
      <c r="Z246" s="108"/>
      <c r="AA246" s="108"/>
    </row>
    <row r="247" spans="2:27" x14ac:dyDescent="0.2">
      <c r="B247" s="30" t="s">
        <v>403</v>
      </c>
      <c r="C247" s="6">
        <v>198</v>
      </c>
      <c r="D247" s="22">
        <v>24455000</v>
      </c>
      <c r="E247" s="32">
        <v>5.5E-2</v>
      </c>
      <c r="F247" s="22">
        <f t="shared" si="247"/>
        <v>25800000</v>
      </c>
      <c r="G247" s="32">
        <v>0.01</v>
      </c>
      <c r="H247" s="22">
        <f t="shared" si="248"/>
        <v>26058000</v>
      </c>
      <c r="I247" s="32"/>
      <c r="J247" s="22"/>
      <c r="K247" s="63">
        <v>4</v>
      </c>
      <c r="L247" s="22">
        <v>103200000</v>
      </c>
      <c r="M247" s="63">
        <v>0</v>
      </c>
      <c r="N247" s="22">
        <v>0</v>
      </c>
      <c r="O247" s="22">
        <f t="shared" si="239"/>
        <v>103200000</v>
      </c>
      <c r="P247" s="22">
        <f t="shared" si="240"/>
        <v>97819905.213270143</v>
      </c>
      <c r="Q247" s="61">
        <f t="shared" si="241"/>
        <v>102300056.87203792</v>
      </c>
      <c r="R247" s="61">
        <f t="shared" si="242"/>
        <v>899943.12796208262</v>
      </c>
      <c r="S247" s="61">
        <f t="shared" si="243"/>
        <v>0</v>
      </c>
      <c r="T247" s="61">
        <f t="shared" si="244"/>
        <v>0</v>
      </c>
      <c r="U247" s="61">
        <f t="shared" si="245"/>
        <v>0</v>
      </c>
      <c r="V247" s="61">
        <f t="shared" si="246"/>
        <v>899943.12796208262</v>
      </c>
      <c r="X247" s="107"/>
      <c r="Y247" s="107"/>
      <c r="Z247" s="108"/>
      <c r="AA247" s="108"/>
    </row>
    <row r="248" spans="2:27" x14ac:dyDescent="0.2">
      <c r="B248" s="30" t="s">
        <v>404</v>
      </c>
      <c r="C248" s="6">
        <v>198</v>
      </c>
      <c r="D248" s="22">
        <v>12227000</v>
      </c>
      <c r="E248" s="32">
        <v>5.5E-2</v>
      </c>
      <c r="F248" s="22">
        <f t="shared" ref="F248:F250" si="263">+ROUND((D248*E248)+D248,-3)</f>
        <v>12899000</v>
      </c>
      <c r="G248" s="32">
        <v>0.01</v>
      </c>
      <c r="H248" s="22">
        <f t="shared" ref="H248:H250" si="264">+(F248*G248)+F248</f>
        <v>13027990</v>
      </c>
      <c r="I248" s="32"/>
      <c r="J248" s="22"/>
      <c r="K248" s="63">
        <v>15</v>
      </c>
      <c r="L248" s="22">
        <v>188325200</v>
      </c>
      <c r="M248" s="63">
        <v>19</v>
      </c>
      <c r="N248" s="22">
        <v>241211300</v>
      </c>
      <c r="O248" s="22">
        <f t="shared" si="239"/>
        <v>429536500</v>
      </c>
      <c r="P248" s="22">
        <f t="shared" si="240"/>
        <v>178507298.57819906</v>
      </c>
      <c r="Q248" s="61">
        <f t="shared" si="241"/>
        <v>186682932.85308057</v>
      </c>
      <c r="R248" s="61">
        <f t="shared" si="242"/>
        <v>1642267.1469194293</v>
      </c>
      <c r="S248" s="61">
        <f t="shared" si="243"/>
        <v>228636303.31753555</v>
      </c>
      <c r="T248" s="61">
        <f t="shared" si="244"/>
        <v>239107846.00947869</v>
      </c>
      <c r="U248" s="61">
        <f t="shared" si="245"/>
        <v>2103453.9905213118</v>
      </c>
      <c r="V248" s="61">
        <f t="shared" si="246"/>
        <v>3745721.1374407411</v>
      </c>
      <c r="X248" s="107"/>
      <c r="Y248" s="107"/>
      <c r="Z248" s="108"/>
      <c r="AA248" s="108"/>
    </row>
    <row r="249" spans="2:27" x14ac:dyDescent="0.2">
      <c r="B249" s="30" t="s">
        <v>405</v>
      </c>
      <c r="C249" s="6">
        <v>192</v>
      </c>
      <c r="D249" s="22">
        <v>39244000</v>
      </c>
      <c r="E249" s="32">
        <v>5.5E-2</v>
      </c>
      <c r="F249" s="22">
        <f t="shared" si="263"/>
        <v>41402000</v>
      </c>
      <c r="G249" s="32">
        <v>0.01</v>
      </c>
      <c r="H249" s="22">
        <f t="shared" si="264"/>
        <v>41816020</v>
      </c>
      <c r="I249" s="32"/>
      <c r="J249" s="22"/>
      <c r="K249" s="63">
        <v>8</v>
      </c>
      <c r="L249" s="22">
        <v>331216000</v>
      </c>
      <c r="M249" s="63">
        <v>0</v>
      </c>
      <c r="N249" s="22">
        <v>0</v>
      </c>
      <c r="O249" s="22">
        <f t="shared" si="239"/>
        <v>331216000</v>
      </c>
      <c r="P249" s="22">
        <f t="shared" si="240"/>
        <v>313948815.16587681</v>
      </c>
      <c r="Q249" s="61">
        <f t="shared" si="241"/>
        <v>328327670.90047395</v>
      </c>
      <c r="R249" s="61">
        <f t="shared" si="242"/>
        <v>2888329.0995260477</v>
      </c>
      <c r="S249" s="61">
        <f t="shared" si="243"/>
        <v>0</v>
      </c>
      <c r="T249" s="61">
        <f t="shared" si="244"/>
        <v>0</v>
      </c>
      <c r="U249" s="61">
        <f t="shared" si="245"/>
        <v>0</v>
      </c>
      <c r="V249" s="61">
        <f t="shared" si="246"/>
        <v>2888329.0995260477</v>
      </c>
      <c r="X249" s="107"/>
      <c r="Y249" s="107"/>
      <c r="Z249" s="108"/>
      <c r="AA249" s="108"/>
    </row>
    <row r="250" spans="2:27" x14ac:dyDescent="0.2">
      <c r="B250" s="30" t="s">
        <v>406</v>
      </c>
      <c r="C250" s="6">
        <v>192</v>
      </c>
      <c r="D250" s="22">
        <v>19622000</v>
      </c>
      <c r="E250" s="32">
        <v>5.5E-2</v>
      </c>
      <c r="F250" s="22">
        <f t="shared" si="263"/>
        <v>20701000</v>
      </c>
      <c r="G250" s="32">
        <v>0.01</v>
      </c>
      <c r="H250" s="22">
        <f t="shared" si="264"/>
        <v>20908010</v>
      </c>
      <c r="I250" s="32"/>
      <c r="J250" s="22"/>
      <c r="K250" s="63">
        <v>38</v>
      </c>
      <c r="L250" s="22">
        <v>701763900</v>
      </c>
      <c r="M250" s="63">
        <v>48</v>
      </c>
      <c r="N250" s="22">
        <v>939825400</v>
      </c>
      <c r="O250" s="22">
        <f t="shared" si="239"/>
        <v>1641589300</v>
      </c>
      <c r="P250" s="22">
        <f t="shared" si="240"/>
        <v>665179052.13270152</v>
      </c>
      <c r="Q250" s="61">
        <f t="shared" si="241"/>
        <v>695644252.72037923</v>
      </c>
      <c r="R250" s="61">
        <f t="shared" si="242"/>
        <v>6119647.2796207666</v>
      </c>
      <c r="S250" s="61">
        <f t="shared" si="243"/>
        <v>890829763.03317535</v>
      </c>
      <c r="T250" s="61">
        <f t="shared" si="244"/>
        <v>931629766.18009472</v>
      </c>
      <c r="U250" s="61">
        <f t="shared" si="245"/>
        <v>8195633.8199052811</v>
      </c>
      <c r="V250" s="61">
        <f t="shared" si="246"/>
        <v>14315281.099526048</v>
      </c>
      <c r="X250" s="107"/>
      <c r="Y250" s="107"/>
      <c r="Z250" s="108"/>
      <c r="AA250" s="108"/>
    </row>
    <row r="251" spans="2:27" x14ac:dyDescent="0.2">
      <c r="B251" s="30" t="s">
        <v>133</v>
      </c>
      <c r="C251" s="6">
        <v>128</v>
      </c>
      <c r="D251" s="22">
        <v>12227000</v>
      </c>
      <c r="E251" s="32">
        <v>5.5E-2</v>
      </c>
      <c r="F251" s="22">
        <f t="shared" si="247"/>
        <v>12899000</v>
      </c>
      <c r="G251" s="32">
        <v>0.01</v>
      </c>
      <c r="H251" s="22">
        <f t="shared" si="248"/>
        <v>13027990</v>
      </c>
      <c r="I251" s="32"/>
      <c r="J251" s="22"/>
      <c r="K251" s="63">
        <v>3</v>
      </c>
      <c r="L251" s="22">
        <v>38697000</v>
      </c>
      <c r="M251" s="63">
        <v>4</v>
      </c>
      <c r="N251" s="22">
        <v>51596000</v>
      </c>
      <c r="O251" s="22">
        <f t="shared" si="239"/>
        <v>90293000</v>
      </c>
      <c r="P251" s="22">
        <f t="shared" si="240"/>
        <v>36679620.853080571</v>
      </c>
      <c r="Q251" s="61">
        <f t="shared" si="241"/>
        <v>38359547.488151662</v>
      </c>
      <c r="R251" s="61">
        <f t="shared" si="242"/>
        <v>337452.51184833795</v>
      </c>
      <c r="S251" s="61">
        <f t="shared" si="243"/>
        <v>48906161.137440763</v>
      </c>
      <c r="T251" s="61">
        <f t="shared" si="244"/>
        <v>51146063.317535549</v>
      </c>
      <c r="U251" s="61">
        <f t="shared" si="245"/>
        <v>449936.6824644506</v>
      </c>
      <c r="V251" s="61">
        <f t="shared" si="246"/>
        <v>787389.19431278855</v>
      </c>
      <c r="X251" s="107"/>
      <c r="Y251" s="107"/>
      <c r="Z251" s="108"/>
      <c r="AA251" s="108"/>
    </row>
    <row r="252" spans="2:27" x14ac:dyDescent="0.2">
      <c r="B252" s="30" t="s">
        <v>139</v>
      </c>
      <c r="C252" s="6">
        <v>123</v>
      </c>
      <c r="D252" s="22">
        <v>12227000</v>
      </c>
      <c r="E252" s="32">
        <v>5.5E-2</v>
      </c>
      <c r="F252" s="22">
        <f t="shared" si="247"/>
        <v>12899000</v>
      </c>
      <c r="G252" s="32">
        <v>0.01</v>
      </c>
      <c r="H252" s="22">
        <f t="shared" si="248"/>
        <v>13027990</v>
      </c>
      <c r="I252" s="32"/>
      <c r="J252" s="22"/>
      <c r="K252" s="63">
        <v>6</v>
      </c>
      <c r="L252" s="22">
        <v>77394000</v>
      </c>
      <c r="M252" s="63">
        <v>8</v>
      </c>
      <c r="N252" s="22">
        <v>103192000</v>
      </c>
      <c r="O252" s="22">
        <f t="shared" si="239"/>
        <v>180586000</v>
      </c>
      <c r="P252" s="22">
        <f t="shared" si="240"/>
        <v>73359241.706161141</v>
      </c>
      <c r="Q252" s="61">
        <f t="shared" si="241"/>
        <v>76719094.976303324</v>
      </c>
      <c r="R252" s="61">
        <f t="shared" si="242"/>
        <v>674905.0236966759</v>
      </c>
      <c r="S252" s="61">
        <f t="shared" si="243"/>
        <v>97812322.274881527</v>
      </c>
      <c r="T252" s="61">
        <f t="shared" si="244"/>
        <v>102292126.6350711</v>
      </c>
      <c r="U252" s="61">
        <f t="shared" si="245"/>
        <v>899873.3649289012</v>
      </c>
      <c r="V252" s="61">
        <f t="shared" si="246"/>
        <v>1574778.3886255771</v>
      </c>
      <c r="X252" s="107"/>
      <c r="Y252" s="107"/>
      <c r="Z252" s="108"/>
      <c r="AA252" s="108"/>
    </row>
    <row r="253" spans="2:27" x14ac:dyDescent="0.2">
      <c r="B253" s="30" t="s">
        <v>135</v>
      </c>
      <c r="C253" s="6">
        <v>335</v>
      </c>
      <c r="D253" s="22">
        <v>24455000</v>
      </c>
      <c r="E253" s="32">
        <v>5.5E-2</v>
      </c>
      <c r="F253" s="22">
        <f t="shared" si="247"/>
        <v>25800000</v>
      </c>
      <c r="G253" s="32">
        <v>0.01</v>
      </c>
      <c r="H253" s="22">
        <f t="shared" si="248"/>
        <v>26058000</v>
      </c>
      <c r="I253" s="32"/>
      <c r="J253" s="22"/>
      <c r="K253" s="63">
        <v>6</v>
      </c>
      <c r="L253" s="22">
        <v>131580000</v>
      </c>
      <c r="M253" s="63">
        <v>1</v>
      </c>
      <c r="N253" s="22">
        <v>12900000</v>
      </c>
      <c r="O253" s="22">
        <f t="shared" si="239"/>
        <v>144480000</v>
      </c>
      <c r="P253" s="22">
        <f t="shared" si="240"/>
        <v>124720379.14691944</v>
      </c>
      <c r="Q253" s="61">
        <f t="shared" si="241"/>
        <v>130432572.51184836</v>
      </c>
      <c r="R253" s="61">
        <f t="shared" si="242"/>
        <v>1147427.4881516397</v>
      </c>
      <c r="S253" s="61">
        <f t="shared" si="243"/>
        <v>12227488.151658768</v>
      </c>
      <c r="T253" s="61">
        <f t="shared" si="244"/>
        <v>12787507.10900474</v>
      </c>
      <c r="U253" s="61">
        <f t="shared" si="245"/>
        <v>112492.89099526033</v>
      </c>
      <c r="V253" s="61">
        <f t="shared" si="246"/>
        <v>1259920.3791469</v>
      </c>
      <c r="X253" s="107"/>
      <c r="Y253" s="107"/>
      <c r="Z253" s="108"/>
      <c r="AA253" s="108"/>
    </row>
    <row r="254" spans="2:27" x14ac:dyDescent="0.2">
      <c r="B254" s="30" t="s">
        <v>134</v>
      </c>
      <c r="C254" s="6">
        <v>244</v>
      </c>
      <c r="D254" s="22">
        <v>12228000</v>
      </c>
      <c r="E254" s="32">
        <v>5.5E-2</v>
      </c>
      <c r="F254" s="22">
        <f t="shared" si="247"/>
        <v>12901000</v>
      </c>
      <c r="G254" s="32">
        <v>0.01</v>
      </c>
      <c r="H254" s="22">
        <f t="shared" si="248"/>
        <v>13030010</v>
      </c>
      <c r="I254" s="32"/>
      <c r="J254" s="22"/>
      <c r="K254" s="63">
        <v>14</v>
      </c>
      <c r="L254" s="22">
        <v>167713000</v>
      </c>
      <c r="M254" s="63">
        <v>3</v>
      </c>
      <c r="N254" s="22">
        <v>34832700</v>
      </c>
      <c r="O254" s="22">
        <f t="shared" si="239"/>
        <v>202545700</v>
      </c>
      <c r="P254" s="22">
        <f t="shared" si="240"/>
        <v>158969668.24644551</v>
      </c>
      <c r="Q254" s="61">
        <f t="shared" si="241"/>
        <v>166250479.05213273</v>
      </c>
      <c r="R254" s="61">
        <f t="shared" si="242"/>
        <v>1462520.9478672743</v>
      </c>
      <c r="S254" s="61">
        <f t="shared" si="243"/>
        <v>33016777.251184836</v>
      </c>
      <c r="T254" s="61">
        <f t="shared" si="244"/>
        <v>34528945.649289101</v>
      </c>
      <c r="U254" s="61">
        <f t="shared" si="245"/>
        <v>303754.35071089864</v>
      </c>
      <c r="V254" s="61">
        <f t="shared" si="246"/>
        <v>1766275.2985781729</v>
      </c>
      <c r="X254" s="107"/>
      <c r="Y254" s="107"/>
      <c r="Z254" s="108"/>
      <c r="AA254" s="108"/>
    </row>
    <row r="255" spans="2:27" x14ac:dyDescent="0.2">
      <c r="B255" s="30" t="s">
        <v>140</v>
      </c>
      <c r="C255" s="6">
        <v>180</v>
      </c>
      <c r="D255" s="22">
        <v>19621000</v>
      </c>
      <c r="E255" s="32">
        <v>5.5E-2</v>
      </c>
      <c r="F255" s="22">
        <f t="shared" si="247"/>
        <v>20700000</v>
      </c>
      <c r="G255" s="32">
        <v>0.01</v>
      </c>
      <c r="H255" s="22">
        <f t="shared" si="248"/>
        <v>20907000</v>
      </c>
      <c r="I255" s="32"/>
      <c r="J255" s="22"/>
      <c r="K255" s="63">
        <v>12</v>
      </c>
      <c r="L255" s="22">
        <v>223560000</v>
      </c>
      <c r="M255" s="63">
        <v>12</v>
      </c>
      <c r="N255" s="22">
        <v>223560000</v>
      </c>
      <c r="O255" s="22">
        <f t="shared" ref="O255:O278" si="265">L255+N255</f>
        <v>447120000</v>
      </c>
      <c r="P255" s="22">
        <f t="shared" ref="P255:P278" si="266">L255/(1+E255)</f>
        <v>211905213.2701422</v>
      </c>
      <c r="Q255" s="61">
        <f t="shared" ref="Q255:Q278" si="267">(P255*$Q$8)+P255</f>
        <v>221610472.03791472</v>
      </c>
      <c r="R255" s="61">
        <f t="shared" ref="R255:R278" si="268">L255-Q255</f>
        <v>1949527.9620852768</v>
      </c>
      <c r="S255" s="61">
        <f t="shared" ref="S255:S278" si="269">N255/(1+E255)</f>
        <v>211905213.2701422</v>
      </c>
      <c r="T255" s="61">
        <f t="shared" si="244"/>
        <v>221610472.03791472</v>
      </c>
      <c r="U255" s="61">
        <f t="shared" ref="U255:U278" si="270">N255-T255</f>
        <v>1949527.9620852768</v>
      </c>
      <c r="V255" s="61">
        <f t="shared" si="246"/>
        <v>3899055.9241705537</v>
      </c>
      <c r="X255" s="107"/>
      <c r="Y255" s="107"/>
      <c r="Z255" s="108"/>
      <c r="AA255" s="108"/>
    </row>
    <row r="256" spans="2:27" x14ac:dyDescent="0.2">
      <c r="B256" s="30" t="s">
        <v>526</v>
      </c>
      <c r="C256" s="6">
        <v>67</v>
      </c>
      <c r="D256" s="22">
        <v>12227000</v>
      </c>
      <c r="E256" s="32">
        <v>5.5E-2</v>
      </c>
      <c r="F256" s="22">
        <f t="shared" si="247"/>
        <v>12899000</v>
      </c>
      <c r="G256" s="32">
        <v>0.01</v>
      </c>
      <c r="H256" s="22">
        <f t="shared" si="248"/>
        <v>13027990</v>
      </c>
      <c r="I256" s="32"/>
      <c r="J256" s="22"/>
      <c r="K256" s="63">
        <v>2</v>
      </c>
      <c r="L256" s="22">
        <v>25798000</v>
      </c>
      <c r="M256" s="63">
        <v>2</v>
      </c>
      <c r="N256" s="22">
        <v>25798000</v>
      </c>
      <c r="O256" s="22">
        <f t="shared" si="265"/>
        <v>51596000</v>
      </c>
      <c r="P256" s="22">
        <f t="shared" si="266"/>
        <v>24453080.568720382</v>
      </c>
      <c r="Q256" s="61">
        <f t="shared" si="267"/>
        <v>25573031.658767775</v>
      </c>
      <c r="R256" s="61">
        <f t="shared" si="268"/>
        <v>224968.3412322253</v>
      </c>
      <c r="S256" s="61">
        <f t="shared" si="269"/>
        <v>24453080.568720382</v>
      </c>
      <c r="T256" s="61">
        <f t="shared" si="244"/>
        <v>25573031.658767775</v>
      </c>
      <c r="U256" s="61">
        <f t="shared" si="270"/>
        <v>224968.3412322253</v>
      </c>
      <c r="V256" s="61">
        <f t="shared" si="246"/>
        <v>449936.6824644506</v>
      </c>
      <c r="X256" s="107"/>
      <c r="Y256" s="107"/>
      <c r="Z256" s="108"/>
      <c r="AA256" s="108"/>
    </row>
    <row r="257" spans="2:27" x14ac:dyDescent="0.2">
      <c r="B257" s="30" t="s">
        <v>141</v>
      </c>
      <c r="C257" s="6">
        <v>250</v>
      </c>
      <c r="D257" s="22">
        <v>39244000</v>
      </c>
      <c r="E257" s="32">
        <v>5.5E-2</v>
      </c>
      <c r="F257" s="22">
        <f t="shared" si="247"/>
        <v>41402000</v>
      </c>
      <c r="G257" s="32">
        <v>0.01</v>
      </c>
      <c r="H257" s="22">
        <f t="shared" si="248"/>
        <v>41816020</v>
      </c>
      <c r="I257" s="32"/>
      <c r="J257" s="22"/>
      <c r="K257" s="63">
        <v>24</v>
      </c>
      <c r="L257" s="22">
        <v>902563600</v>
      </c>
      <c r="M257" s="63">
        <v>0</v>
      </c>
      <c r="N257" s="22">
        <v>0</v>
      </c>
      <c r="O257" s="22">
        <f t="shared" si="265"/>
        <v>902563600</v>
      </c>
      <c r="P257" s="22">
        <f t="shared" si="266"/>
        <v>855510521.32701433</v>
      </c>
      <c r="Q257" s="61">
        <f t="shared" si="267"/>
        <v>894692903.20379162</v>
      </c>
      <c r="R257" s="61">
        <f t="shared" si="268"/>
        <v>7870696.7962083817</v>
      </c>
      <c r="S257" s="61">
        <f t="shared" si="269"/>
        <v>0</v>
      </c>
      <c r="T257" s="61">
        <f t="shared" si="244"/>
        <v>0</v>
      </c>
      <c r="U257" s="61">
        <f t="shared" si="270"/>
        <v>0</v>
      </c>
      <c r="V257" s="61">
        <f t="shared" si="246"/>
        <v>7870696.7962083817</v>
      </c>
      <c r="X257" s="107"/>
      <c r="Y257" s="107"/>
      <c r="Z257" s="108"/>
      <c r="AA257" s="108"/>
    </row>
    <row r="258" spans="2:27" x14ac:dyDescent="0.2">
      <c r="B258" s="30" t="s">
        <v>515</v>
      </c>
      <c r="C258" s="6">
        <v>193</v>
      </c>
      <c r="D258" s="22">
        <v>39244000</v>
      </c>
      <c r="E258" s="32">
        <v>5.5E-2</v>
      </c>
      <c r="F258" s="22">
        <f t="shared" si="247"/>
        <v>41402000</v>
      </c>
      <c r="G258" s="32">
        <v>0.01</v>
      </c>
      <c r="H258" s="22">
        <f t="shared" si="248"/>
        <v>41816020</v>
      </c>
      <c r="I258" s="32"/>
      <c r="J258" s="22"/>
      <c r="K258" s="63">
        <v>1</v>
      </c>
      <c r="L258" s="22">
        <v>41402000</v>
      </c>
      <c r="M258" s="63">
        <v>0</v>
      </c>
      <c r="N258" s="22">
        <v>0</v>
      </c>
      <c r="O258" s="22">
        <f t="shared" si="265"/>
        <v>41402000</v>
      </c>
      <c r="P258" s="22">
        <f t="shared" si="266"/>
        <v>39243601.895734601</v>
      </c>
      <c r="Q258" s="61">
        <f t="shared" si="267"/>
        <v>41040958.862559244</v>
      </c>
      <c r="R258" s="61">
        <f t="shared" si="268"/>
        <v>361041.13744075596</v>
      </c>
      <c r="S258" s="61">
        <f t="shared" si="269"/>
        <v>0</v>
      </c>
      <c r="T258" s="61">
        <f t="shared" si="244"/>
        <v>0</v>
      </c>
      <c r="U258" s="61">
        <f t="shared" si="270"/>
        <v>0</v>
      </c>
      <c r="V258" s="61">
        <f t="shared" si="246"/>
        <v>361041.13744075596</v>
      </c>
      <c r="X258" s="107"/>
      <c r="Y258" s="107"/>
      <c r="Z258" s="108"/>
      <c r="AA258" s="108"/>
    </row>
    <row r="259" spans="2:27" x14ac:dyDescent="0.2">
      <c r="B259" s="30" t="s">
        <v>516</v>
      </c>
      <c r="C259" s="6">
        <v>193</v>
      </c>
      <c r="D259" s="22">
        <v>19622000</v>
      </c>
      <c r="E259" s="32">
        <v>5.5E-2</v>
      </c>
      <c r="F259" s="22">
        <f t="shared" ref="F259" si="271">+ROUND((D259*E259)+D259,-3)</f>
        <v>20701000</v>
      </c>
      <c r="G259" s="32">
        <v>0.01</v>
      </c>
      <c r="H259" s="22">
        <f t="shared" ref="H259" si="272">+(F259*G259)+F259</f>
        <v>20908010</v>
      </c>
      <c r="I259" s="32"/>
      <c r="J259" s="22"/>
      <c r="K259" s="63">
        <v>3</v>
      </c>
      <c r="L259" s="22">
        <v>51752500</v>
      </c>
      <c r="M259" s="63">
        <v>3</v>
      </c>
      <c r="N259" s="22">
        <v>55892700</v>
      </c>
      <c r="O259" s="22">
        <f t="shared" si="265"/>
        <v>107645200</v>
      </c>
      <c r="P259" s="22">
        <f t="shared" si="266"/>
        <v>49054502.369668253</v>
      </c>
      <c r="Q259" s="61">
        <f t="shared" si="267"/>
        <v>51301198.578199059</v>
      </c>
      <c r="R259" s="61">
        <f t="shared" si="268"/>
        <v>451301.42180094123</v>
      </c>
      <c r="S259" s="61">
        <f t="shared" si="269"/>
        <v>52978862.559241712</v>
      </c>
      <c r="T259" s="61">
        <f t="shared" si="244"/>
        <v>55405294.464454979</v>
      </c>
      <c r="U259" s="61">
        <f t="shared" si="270"/>
        <v>487405.5355450213</v>
      </c>
      <c r="V259" s="61">
        <f t="shared" si="246"/>
        <v>938706.95734596252</v>
      </c>
      <c r="X259" s="107"/>
      <c r="Y259" s="107"/>
      <c r="Z259" s="108"/>
      <c r="AA259" s="108"/>
    </row>
    <row r="260" spans="2:27" x14ac:dyDescent="0.2">
      <c r="B260" s="30" t="s">
        <v>407</v>
      </c>
      <c r="C260" s="6">
        <v>200</v>
      </c>
      <c r="D260" s="22">
        <v>39244000</v>
      </c>
      <c r="E260" s="32">
        <v>5.5E-2</v>
      </c>
      <c r="F260" s="22">
        <f t="shared" si="247"/>
        <v>41402000</v>
      </c>
      <c r="G260" s="32">
        <v>0.01</v>
      </c>
      <c r="H260" s="22">
        <f t="shared" si="248"/>
        <v>41816020</v>
      </c>
      <c r="I260" s="32"/>
      <c r="J260" s="22"/>
      <c r="K260" s="63">
        <v>1</v>
      </c>
      <c r="L260" s="22">
        <v>41402000</v>
      </c>
      <c r="M260" s="63">
        <v>1</v>
      </c>
      <c r="N260" s="22">
        <v>41402000</v>
      </c>
      <c r="O260" s="22">
        <f t="shared" si="265"/>
        <v>82804000</v>
      </c>
      <c r="P260" s="22">
        <f t="shared" si="266"/>
        <v>39243601.895734601</v>
      </c>
      <c r="Q260" s="61">
        <f t="shared" si="267"/>
        <v>41040958.862559244</v>
      </c>
      <c r="R260" s="61">
        <f t="shared" si="268"/>
        <v>361041.13744075596</v>
      </c>
      <c r="S260" s="61">
        <f t="shared" si="269"/>
        <v>39243601.895734601</v>
      </c>
      <c r="T260" s="61">
        <f t="shared" si="244"/>
        <v>41040958.862559244</v>
      </c>
      <c r="U260" s="61">
        <f t="shared" si="270"/>
        <v>361041.13744075596</v>
      </c>
      <c r="V260" s="61">
        <f t="shared" si="246"/>
        <v>722082.27488151193</v>
      </c>
      <c r="X260" s="107"/>
      <c r="Y260" s="107"/>
      <c r="Z260" s="108"/>
      <c r="AA260" s="108"/>
    </row>
    <row r="261" spans="2:27" x14ac:dyDescent="0.2">
      <c r="B261" s="30" t="s">
        <v>408</v>
      </c>
      <c r="C261" s="6">
        <v>200</v>
      </c>
      <c r="D261" s="22">
        <v>19622000</v>
      </c>
      <c r="E261" s="32">
        <v>5.5E-2</v>
      </c>
      <c r="F261" s="22">
        <f t="shared" ref="F261:F265" si="273">+ROUND((D261*E261)+D261,-3)</f>
        <v>20701000</v>
      </c>
      <c r="G261" s="32">
        <v>0.01</v>
      </c>
      <c r="H261" s="22">
        <f t="shared" ref="H261:H265" si="274">+(F261*G261)+F261</f>
        <v>20908010</v>
      </c>
      <c r="I261" s="32"/>
      <c r="J261" s="22"/>
      <c r="K261" s="63">
        <v>3</v>
      </c>
      <c r="L261" s="22">
        <v>55892700</v>
      </c>
      <c r="M261" s="63">
        <v>4</v>
      </c>
      <c r="N261" s="22">
        <v>76593700</v>
      </c>
      <c r="O261" s="22">
        <f t="shared" si="265"/>
        <v>132486400</v>
      </c>
      <c r="P261" s="22">
        <f t="shared" si="266"/>
        <v>52978862.559241712</v>
      </c>
      <c r="Q261" s="61">
        <f t="shared" si="267"/>
        <v>55405294.464454979</v>
      </c>
      <c r="R261" s="61">
        <f t="shared" si="268"/>
        <v>487405.5355450213</v>
      </c>
      <c r="S261" s="61">
        <f t="shared" si="269"/>
        <v>72600663.507109016</v>
      </c>
      <c r="T261" s="61">
        <f t="shared" si="244"/>
        <v>75925773.895734608</v>
      </c>
      <c r="U261" s="61">
        <f t="shared" si="270"/>
        <v>667926.10426539183</v>
      </c>
      <c r="V261" s="61">
        <f t="shared" si="246"/>
        <v>1155331.6398104131</v>
      </c>
      <c r="X261" s="107"/>
      <c r="Y261" s="107"/>
      <c r="Z261" s="108"/>
      <c r="AA261" s="108"/>
    </row>
    <row r="262" spans="2:27" x14ac:dyDescent="0.2">
      <c r="B262" s="30" t="s">
        <v>409</v>
      </c>
      <c r="C262" s="6">
        <v>204</v>
      </c>
      <c r="D262" s="22">
        <v>39244000</v>
      </c>
      <c r="E262" s="32">
        <v>5.5E-2</v>
      </c>
      <c r="F262" s="22">
        <f t="shared" si="273"/>
        <v>41402000</v>
      </c>
      <c r="G262" s="32">
        <v>0.01</v>
      </c>
      <c r="H262" s="22">
        <f t="shared" si="274"/>
        <v>41816020</v>
      </c>
      <c r="I262" s="32"/>
      <c r="J262" s="22"/>
      <c r="K262" s="63">
        <v>0</v>
      </c>
      <c r="L262" s="22">
        <v>0</v>
      </c>
      <c r="M262" s="63">
        <v>0</v>
      </c>
      <c r="N262" s="22">
        <v>0</v>
      </c>
      <c r="O262" s="22">
        <f t="shared" si="265"/>
        <v>0</v>
      </c>
      <c r="P262" s="22">
        <f t="shared" si="266"/>
        <v>0</v>
      </c>
      <c r="Q262" s="61">
        <f t="shared" si="267"/>
        <v>0</v>
      </c>
      <c r="R262" s="61">
        <f t="shared" si="268"/>
        <v>0</v>
      </c>
      <c r="S262" s="61">
        <f t="shared" si="269"/>
        <v>0</v>
      </c>
      <c r="T262" s="61">
        <f t="shared" si="244"/>
        <v>0</v>
      </c>
      <c r="U262" s="61">
        <f t="shared" si="270"/>
        <v>0</v>
      </c>
      <c r="V262" s="61">
        <f t="shared" si="246"/>
        <v>0</v>
      </c>
      <c r="X262" s="107"/>
      <c r="Y262" s="107"/>
      <c r="Z262" s="108"/>
      <c r="AA262" s="108"/>
    </row>
    <row r="263" spans="2:27" x14ac:dyDescent="0.2">
      <c r="B263" s="30" t="s">
        <v>410</v>
      </c>
      <c r="C263" s="6">
        <v>204</v>
      </c>
      <c r="D263" s="22">
        <v>19622000</v>
      </c>
      <c r="E263" s="32">
        <v>5.5E-2</v>
      </c>
      <c r="F263" s="22">
        <f t="shared" si="273"/>
        <v>20701000</v>
      </c>
      <c r="G263" s="32">
        <v>0.01</v>
      </c>
      <c r="H263" s="22">
        <f t="shared" si="274"/>
        <v>20908010</v>
      </c>
      <c r="I263" s="32"/>
      <c r="J263" s="22"/>
      <c r="K263" s="63">
        <v>32</v>
      </c>
      <c r="L263" s="22">
        <v>629310400</v>
      </c>
      <c r="M263" s="63">
        <v>40</v>
      </c>
      <c r="N263" s="22">
        <v>788708100</v>
      </c>
      <c r="O263" s="22">
        <f t="shared" si="265"/>
        <v>1418018500</v>
      </c>
      <c r="P263" s="22">
        <f t="shared" si="266"/>
        <v>596502748.81516588</v>
      </c>
      <c r="Q263" s="61">
        <f t="shared" si="267"/>
        <v>623822574.71090043</v>
      </c>
      <c r="R263" s="61">
        <f t="shared" si="268"/>
        <v>5487825.2890995741</v>
      </c>
      <c r="S263" s="61">
        <f t="shared" si="269"/>
        <v>747590616.11374414</v>
      </c>
      <c r="T263" s="61">
        <f t="shared" si="244"/>
        <v>781830266.33175361</v>
      </c>
      <c r="U263" s="61">
        <f t="shared" si="270"/>
        <v>6877833.6682463884</v>
      </c>
      <c r="V263" s="61">
        <f t="shared" si="246"/>
        <v>12365658.957345963</v>
      </c>
      <c r="X263" s="107"/>
      <c r="Y263" s="107"/>
      <c r="Z263" s="108"/>
      <c r="AA263" s="108"/>
    </row>
    <row r="264" spans="2:27" x14ac:dyDescent="0.2">
      <c r="B264" s="30" t="s">
        <v>517</v>
      </c>
      <c r="C264" s="6">
        <v>66</v>
      </c>
      <c r="D264" s="22">
        <v>24455000</v>
      </c>
      <c r="E264" s="32">
        <v>5.5E-2</v>
      </c>
      <c r="F264" s="22">
        <f t="shared" ref="F264" si="275">+ROUND((D264*E264)+D264,-3)</f>
        <v>25800000</v>
      </c>
      <c r="G264" s="32">
        <v>0.01</v>
      </c>
      <c r="H264" s="22">
        <f t="shared" ref="H264" si="276">+(F264*G264)+F264</f>
        <v>26058000</v>
      </c>
      <c r="I264" s="32"/>
      <c r="J264" s="22"/>
      <c r="K264" s="63">
        <v>0</v>
      </c>
      <c r="L264" s="22">
        <v>0</v>
      </c>
      <c r="M264" s="63">
        <v>0</v>
      </c>
      <c r="N264" s="22">
        <v>0</v>
      </c>
      <c r="O264" s="22">
        <f t="shared" si="265"/>
        <v>0</v>
      </c>
      <c r="P264" s="22">
        <f t="shared" si="266"/>
        <v>0</v>
      </c>
      <c r="Q264" s="61">
        <f t="shared" si="267"/>
        <v>0</v>
      </c>
      <c r="R264" s="61">
        <f t="shared" si="268"/>
        <v>0</v>
      </c>
      <c r="S264" s="61">
        <f t="shared" si="269"/>
        <v>0</v>
      </c>
      <c r="T264" s="61">
        <f t="shared" si="244"/>
        <v>0</v>
      </c>
      <c r="U264" s="61">
        <f t="shared" si="270"/>
        <v>0</v>
      </c>
      <c r="V264" s="61">
        <f t="shared" si="246"/>
        <v>0</v>
      </c>
      <c r="X264" s="107"/>
      <c r="Y264" s="107"/>
      <c r="Z264" s="108"/>
      <c r="AA264" s="108"/>
    </row>
    <row r="265" spans="2:27" x14ac:dyDescent="0.2">
      <c r="B265" s="30" t="s">
        <v>411</v>
      </c>
      <c r="C265" s="6">
        <v>66</v>
      </c>
      <c r="D265" s="22">
        <v>12227000</v>
      </c>
      <c r="E265" s="32">
        <v>5.5E-2</v>
      </c>
      <c r="F265" s="22">
        <f t="shared" si="273"/>
        <v>12899000</v>
      </c>
      <c r="G265" s="32">
        <v>0.01</v>
      </c>
      <c r="H265" s="22">
        <f t="shared" si="274"/>
        <v>13027990</v>
      </c>
      <c r="I265" s="32"/>
      <c r="J265" s="22"/>
      <c r="K265" s="63">
        <v>5</v>
      </c>
      <c r="L265" s="22">
        <v>61915200</v>
      </c>
      <c r="M265" s="63">
        <v>5</v>
      </c>
      <c r="N265" s="22">
        <v>61915200</v>
      </c>
      <c r="O265" s="22">
        <f t="shared" si="265"/>
        <v>123830400</v>
      </c>
      <c r="P265" s="22">
        <f t="shared" si="266"/>
        <v>58687393.364928916</v>
      </c>
      <c r="Q265" s="61">
        <f t="shared" si="267"/>
        <v>61375275.981042661</v>
      </c>
      <c r="R265" s="61">
        <f t="shared" si="268"/>
        <v>539924.01895733923</v>
      </c>
      <c r="S265" s="61">
        <f t="shared" si="269"/>
        <v>58687393.364928916</v>
      </c>
      <c r="T265" s="61">
        <f t="shared" si="244"/>
        <v>61375275.981042661</v>
      </c>
      <c r="U265" s="61">
        <f t="shared" si="270"/>
        <v>539924.01895733923</v>
      </c>
      <c r="V265" s="61">
        <f t="shared" si="246"/>
        <v>1079848.0379146785</v>
      </c>
      <c r="X265" s="107"/>
      <c r="Y265" s="107"/>
      <c r="Z265" s="108"/>
      <c r="AA265" s="108"/>
    </row>
    <row r="266" spans="2:27" x14ac:dyDescent="0.2">
      <c r="B266" s="30" t="s">
        <v>518</v>
      </c>
      <c r="C266" s="6">
        <v>130</v>
      </c>
      <c r="D266" s="22">
        <v>24455000</v>
      </c>
      <c r="E266" s="32">
        <v>5.5E-2</v>
      </c>
      <c r="F266" s="22">
        <f t="shared" si="247"/>
        <v>25800000</v>
      </c>
      <c r="G266" s="32">
        <v>0.01</v>
      </c>
      <c r="H266" s="22">
        <f t="shared" si="248"/>
        <v>26058000</v>
      </c>
      <c r="I266" s="32"/>
      <c r="J266" s="22"/>
      <c r="K266" s="63">
        <v>5</v>
      </c>
      <c r="L266" s="22">
        <v>129000000</v>
      </c>
      <c r="M266" s="63">
        <v>0</v>
      </c>
      <c r="N266" s="22">
        <v>0</v>
      </c>
      <c r="O266" s="22">
        <f t="shared" si="265"/>
        <v>129000000</v>
      </c>
      <c r="P266" s="22">
        <f t="shared" si="266"/>
        <v>122274881.51658769</v>
      </c>
      <c r="Q266" s="61">
        <f t="shared" si="267"/>
        <v>127875071.0900474</v>
      </c>
      <c r="R266" s="61">
        <f t="shared" si="268"/>
        <v>1124928.9099525958</v>
      </c>
      <c r="S266" s="61">
        <f t="shared" si="269"/>
        <v>0</v>
      </c>
      <c r="T266" s="61">
        <f t="shared" si="244"/>
        <v>0</v>
      </c>
      <c r="U266" s="61">
        <f t="shared" si="270"/>
        <v>0</v>
      </c>
      <c r="V266" s="61">
        <f t="shared" si="246"/>
        <v>1124928.9099525958</v>
      </c>
      <c r="X266" s="107"/>
      <c r="Y266" s="107"/>
      <c r="Z266" s="108"/>
      <c r="AA266" s="108"/>
    </row>
    <row r="267" spans="2:27" x14ac:dyDescent="0.2">
      <c r="B267" s="30" t="s">
        <v>519</v>
      </c>
      <c r="C267" s="6">
        <v>130</v>
      </c>
      <c r="D267" s="22">
        <v>12227000</v>
      </c>
      <c r="E267" s="32">
        <v>5.5E-2</v>
      </c>
      <c r="F267" s="22">
        <f t="shared" ref="F267" si="277">+ROUND((D267*E267)+D267,-3)</f>
        <v>12899000</v>
      </c>
      <c r="G267" s="32">
        <v>0.01</v>
      </c>
      <c r="H267" s="22">
        <f t="shared" ref="H267" si="278">+(F267*G267)+F267</f>
        <v>13027990</v>
      </c>
      <c r="I267" s="32"/>
      <c r="J267" s="22"/>
      <c r="K267" s="63">
        <v>5</v>
      </c>
      <c r="L267" s="22">
        <v>58045100</v>
      </c>
      <c r="M267" s="63">
        <v>5</v>
      </c>
      <c r="N267" s="22">
        <v>63205100</v>
      </c>
      <c r="O267" s="22">
        <f t="shared" si="265"/>
        <v>121250200</v>
      </c>
      <c r="P267" s="22">
        <f t="shared" si="266"/>
        <v>55019052.132701427</v>
      </c>
      <c r="Q267" s="61">
        <f t="shared" si="267"/>
        <v>57538924.720379151</v>
      </c>
      <c r="R267" s="61">
        <f t="shared" si="268"/>
        <v>506175.2796208486</v>
      </c>
      <c r="S267" s="61">
        <f t="shared" si="269"/>
        <v>59910047.393364936</v>
      </c>
      <c r="T267" s="61">
        <f t="shared" si="244"/>
        <v>62653927.563981049</v>
      </c>
      <c r="U267" s="61">
        <f t="shared" si="270"/>
        <v>551172.43601895124</v>
      </c>
      <c r="V267" s="61">
        <f t="shared" si="246"/>
        <v>1057347.7156397998</v>
      </c>
      <c r="X267" s="107"/>
      <c r="Y267" s="107"/>
      <c r="Z267" s="108"/>
      <c r="AA267" s="108"/>
    </row>
    <row r="268" spans="2:27" x14ac:dyDescent="0.2">
      <c r="B268" s="30" t="s">
        <v>581</v>
      </c>
      <c r="C268" s="6">
        <v>200</v>
      </c>
      <c r="D268" s="22">
        <v>14267000</v>
      </c>
      <c r="E268" s="32">
        <v>5.5E-2</v>
      </c>
      <c r="F268" s="22">
        <f t="shared" si="247"/>
        <v>15052000</v>
      </c>
      <c r="G268" s="32">
        <v>0.01</v>
      </c>
      <c r="H268" s="22">
        <f t="shared" si="248"/>
        <v>15202520</v>
      </c>
      <c r="I268" s="32"/>
      <c r="J268" s="22"/>
      <c r="K268" s="63">
        <v>27</v>
      </c>
      <c r="L268" s="22">
        <v>370279200</v>
      </c>
      <c r="M268" s="63">
        <v>27</v>
      </c>
      <c r="N268" s="22">
        <v>371784400</v>
      </c>
      <c r="O268" s="22">
        <f t="shared" si="265"/>
        <v>742063600</v>
      </c>
      <c r="P268" s="22">
        <f t="shared" si="266"/>
        <v>350975545.02369672</v>
      </c>
      <c r="Q268" s="61">
        <f t="shared" si="267"/>
        <v>367050224.98578203</v>
      </c>
      <c r="R268" s="61">
        <f t="shared" si="268"/>
        <v>3228975.0142179728</v>
      </c>
      <c r="S268" s="61">
        <f t="shared" si="269"/>
        <v>352402274.88151664</v>
      </c>
      <c r="T268" s="61">
        <f t="shared" si="244"/>
        <v>368542299.0710901</v>
      </c>
      <c r="U268" s="61">
        <f t="shared" si="270"/>
        <v>3242100.9289098978</v>
      </c>
      <c r="V268" s="61">
        <f t="shared" si="246"/>
        <v>6471075.9431278706</v>
      </c>
      <c r="X268" s="107"/>
      <c r="Y268" s="107"/>
      <c r="Z268" s="108"/>
      <c r="AA268" s="108"/>
    </row>
    <row r="269" spans="2:27" x14ac:dyDescent="0.2">
      <c r="B269" s="30" t="s">
        <v>582</v>
      </c>
      <c r="C269" s="6">
        <v>269</v>
      </c>
      <c r="D269" s="22">
        <v>39244000</v>
      </c>
      <c r="E269" s="32">
        <v>5.5E-2</v>
      </c>
      <c r="F269" s="22">
        <f t="shared" si="247"/>
        <v>41402000</v>
      </c>
      <c r="G269" s="32">
        <v>0.01</v>
      </c>
      <c r="H269" s="22">
        <f t="shared" si="248"/>
        <v>41816020</v>
      </c>
      <c r="I269" s="32"/>
      <c r="J269" s="22"/>
      <c r="K269" s="63">
        <v>18</v>
      </c>
      <c r="L269" s="22">
        <v>716254600</v>
      </c>
      <c r="M269" s="63">
        <v>3</v>
      </c>
      <c r="N269" s="22">
        <v>115925600</v>
      </c>
      <c r="O269" s="22">
        <f t="shared" si="265"/>
        <v>832180200</v>
      </c>
      <c r="P269" s="22">
        <f t="shared" si="266"/>
        <v>678914312.79620862</v>
      </c>
      <c r="Q269" s="61">
        <f t="shared" si="267"/>
        <v>710008588.32227492</v>
      </c>
      <c r="R269" s="61">
        <f t="shared" si="268"/>
        <v>6246011.6777250767</v>
      </c>
      <c r="S269" s="61">
        <f t="shared" si="269"/>
        <v>109882085.30805688</v>
      </c>
      <c r="T269" s="61">
        <f t="shared" si="244"/>
        <v>114914684.81516588</v>
      </c>
      <c r="U269" s="61">
        <f t="shared" si="270"/>
        <v>1010915.1848341227</v>
      </c>
      <c r="V269" s="61">
        <f t="shared" si="246"/>
        <v>7256926.8625591993</v>
      </c>
      <c r="X269" s="107"/>
      <c r="Y269" s="107"/>
      <c r="Z269" s="108"/>
      <c r="AA269" s="108"/>
    </row>
    <row r="270" spans="2:27" x14ac:dyDescent="0.2">
      <c r="B270" s="30" t="s">
        <v>527</v>
      </c>
      <c r="C270" s="6">
        <v>126</v>
      </c>
      <c r="D270" s="22">
        <v>16564000</v>
      </c>
      <c r="E270" s="32">
        <v>5.5E-2</v>
      </c>
      <c r="F270" s="22">
        <f t="shared" ref="F270" si="279">+ROUND((D270*E270)+D270,-3)</f>
        <v>17475000</v>
      </c>
      <c r="G270" s="32">
        <v>0.01</v>
      </c>
      <c r="H270" s="22">
        <f t="shared" ref="H270" si="280">+(F270*G270)+F270</f>
        <v>17649750</v>
      </c>
      <c r="I270" s="32"/>
      <c r="J270" s="22"/>
      <c r="K270" s="63">
        <v>4</v>
      </c>
      <c r="L270" s="22">
        <v>69900000</v>
      </c>
      <c r="M270" s="63">
        <v>6</v>
      </c>
      <c r="N270" s="22">
        <v>104850000</v>
      </c>
      <c r="O270" s="22">
        <f t="shared" si="265"/>
        <v>174750000</v>
      </c>
      <c r="P270" s="22">
        <f t="shared" si="266"/>
        <v>66255924.17061612</v>
      </c>
      <c r="Q270" s="61">
        <f t="shared" si="267"/>
        <v>69290445.497630343</v>
      </c>
      <c r="R270" s="61">
        <f t="shared" si="268"/>
        <v>609554.50236965716</v>
      </c>
      <c r="S270" s="61">
        <f t="shared" si="269"/>
        <v>99383886.25592418</v>
      </c>
      <c r="T270" s="61">
        <f t="shared" si="244"/>
        <v>103935668.24644551</v>
      </c>
      <c r="U270" s="61">
        <f t="shared" si="270"/>
        <v>914331.75355449319</v>
      </c>
      <c r="V270" s="61">
        <f t="shared" si="246"/>
        <v>1523886.2559241503</v>
      </c>
      <c r="X270" s="107"/>
      <c r="Y270" s="107"/>
      <c r="Z270" s="108"/>
      <c r="AA270" s="108"/>
    </row>
    <row r="271" spans="2:27" x14ac:dyDescent="0.2">
      <c r="B271" s="30" t="s">
        <v>143</v>
      </c>
      <c r="C271" s="6">
        <v>245</v>
      </c>
      <c r="D271" s="22">
        <v>19621000</v>
      </c>
      <c r="E271" s="32">
        <v>5.5E-2</v>
      </c>
      <c r="F271" s="22">
        <f t="shared" si="247"/>
        <v>20700000</v>
      </c>
      <c r="G271" s="32">
        <v>0.01</v>
      </c>
      <c r="H271" s="22">
        <f t="shared" si="248"/>
        <v>20907000</v>
      </c>
      <c r="I271" s="32"/>
      <c r="J271" s="22"/>
      <c r="K271" s="63">
        <v>8</v>
      </c>
      <c r="L271" s="22">
        <v>138690000</v>
      </c>
      <c r="M271" s="63">
        <v>8</v>
      </c>
      <c r="N271" s="22">
        <v>138690000</v>
      </c>
      <c r="O271" s="22">
        <f t="shared" si="265"/>
        <v>277380000</v>
      </c>
      <c r="P271" s="22">
        <f t="shared" si="266"/>
        <v>131459715.63981043</v>
      </c>
      <c r="Q271" s="61">
        <f t="shared" si="267"/>
        <v>137480570.61611375</v>
      </c>
      <c r="R271" s="61">
        <f t="shared" si="268"/>
        <v>1209429.3838862479</v>
      </c>
      <c r="S271" s="61">
        <f t="shared" si="269"/>
        <v>131459715.63981043</v>
      </c>
      <c r="T271" s="61">
        <f t="shared" si="244"/>
        <v>137480570.61611375</v>
      </c>
      <c r="U271" s="61">
        <f t="shared" si="270"/>
        <v>1209429.3838862479</v>
      </c>
      <c r="V271" s="61">
        <f t="shared" si="246"/>
        <v>2418858.7677724957</v>
      </c>
      <c r="X271" s="107"/>
      <c r="Y271" s="107"/>
      <c r="Z271" s="108"/>
      <c r="AA271" s="108"/>
    </row>
    <row r="272" spans="2:27" x14ac:dyDescent="0.2">
      <c r="B272" s="30" t="s">
        <v>326</v>
      </c>
      <c r="C272" s="6">
        <v>132</v>
      </c>
      <c r="D272" s="22">
        <v>30761000</v>
      </c>
      <c r="E272" s="32">
        <v>5.5E-2</v>
      </c>
      <c r="F272" s="22">
        <f t="shared" si="247"/>
        <v>32453000</v>
      </c>
      <c r="G272" s="32">
        <v>0.01</v>
      </c>
      <c r="H272" s="22">
        <f t="shared" si="248"/>
        <v>32777530</v>
      </c>
      <c r="I272" s="32"/>
      <c r="J272" s="22"/>
      <c r="K272" s="63">
        <v>3</v>
      </c>
      <c r="L272" s="22">
        <v>87623100</v>
      </c>
      <c r="M272" s="63">
        <v>1</v>
      </c>
      <c r="N272" s="22">
        <v>29207700</v>
      </c>
      <c r="O272" s="22">
        <f t="shared" si="265"/>
        <v>116830800</v>
      </c>
      <c r="P272" s="22">
        <f t="shared" si="266"/>
        <v>83055071.090047404</v>
      </c>
      <c r="Q272" s="61">
        <f t="shared" si="267"/>
        <v>86858993.345971569</v>
      </c>
      <c r="R272" s="61">
        <f t="shared" si="268"/>
        <v>764106.65402843058</v>
      </c>
      <c r="S272" s="61">
        <f t="shared" si="269"/>
        <v>27685023.696682464</v>
      </c>
      <c r="T272" s="61">
        <f t="shared" si="244"/>
        <v>28952997.781990521</v>
      </c>
      <c r="U272" s="61">
        <f t="shared" si="270"/>
        <v>254702.21800947934</v>
      </c>
      <c r="V272" s="61">
        <f t="shared" si="246"/>
        <v>1018808.8720379099</v>
      </c>
      <c r="X272" s="107"/>
      <c r="Y272" s="107"/>
      <c r="Z272" s="108"/>
      <c r="AA272" s="108"/>
    </row>
    <row r="273" spans="2:27" x14ac:dyDescent="0.2">
      <c r="B273" s="30" t="s">
        <v>136</v>
      </c>
      <c r="C273" s="6">
        <v>57</v>
      </c>
      <c r="D273" s="22">
        <v>10223000</v>
      </c>
      <c r="E273" s="32">
        <v>5.5E-2</v>
      </c>
      <c r="F273" s="22">
        <f t="shared" si="247"/>
        <v>10785000</v>
      </c>
      <c r="G273" s="32">
        <v>1.4999999999999999E-2</v>
      </c>
      <c r="H273" s="22">
        <f t="shared" si="248"/>
        <v>10946775</v>
      </c>
      <c r="I273" s="32"/>
      <c r="J273" s="22"/>
      <c r="K273" s="63">
        <v>11</v>
      </c>
      <c r="L273" s="22">
        <v>110007000</v>
      </c>
      <c r="M273" s="63">
        <v>11</v>
      </c>
      <c r="N273" s="22">
        <v>110007000</v>
      </c>
      <c r="O273" s="22">
        <f t="shared" si="265"/>
        <v>220014000</v>
      </c>
      <c r="P273" s="22">
        <f t="shared" si="266"/>
        <v>104272037.91469195</v>
      </c>
      <c r="Q273" s="61">
        <f t="shared" si="267"/>
        <v>109047697.25118485</v>
      </c>
      <c r="R273" s="61">
        <f t="shared" si="268"/>
        <v>959302.74881514907</v>
      </c>
      <c r="S273" s="61">
        <f t="shared" si="269"/>
        <v>104272037.91469195</v>
      </c>
      <c r="T273" s="61">
        <f t="shared" si="244"/>
        <v>109047697.25118485</v>
      </c>
      <c r="U273" s="61">
        <f t="shared" si="270"/>
        <v>959302.74881514907</v>
      </c>
      <c r="V273" s="61">
        <f t="shared" si="246"/>
        <v>1918605.4976302981</v>
      </c>
      <c r="X273" s="107"/>
      <c r="Y273" s="107"/>
      <c r="Z273" s="108"/>
      <c r="AA273" s="108"/>
    </row>
    <row r="274" spans="2:27" x14ac:dyDescent="0.2">
      <c r="B274" s="30" t="s">
        <v>520</v>
      </c>
      <c r="C274" s="6">
        <v>58</v>
      </c>
      <c r="D274" s="22">
        <v>14752000</v>
      </c>
      <c r="E274" s="32">
        <v>5.5E-2</v>
      </c>
      <c r="F274" s="22">
        <f t="shared" si="247"/>
        <v>15563000</v>
      </c>
      <c r="G274" s="32">
        <v>1.4999999999999999E-2</v>
      </c>
      <c r="H274" s="22">
        <f t="shared" si="248"/>
        <v>15796445</v>
      </c>
      <c r="I274" s="32"/>
      <c r="J274" s="22"/>
      <c r="K274" s="63">
        <v>19</v>
      </c>
      <c r="L274" s="22">
        <v>295697000</v>
      </c>
      <c r="M274" s="63">
        <v>4</v>
      </c>
      <c r="N274" s="22">
        <v>62252000</v>
      </c>
      <c r="O274" s="22">
        <f t="shared" si="265"/>
        <v>357949000</v>
      </c>
      <c r="P274" s="22">
        <f t="shared" si="266"/>
        <v>280281516.58767772</v>
      </c>
      <c r="Q274" s="61">
        <f t="shared" si="267"/>
        <v>293118410.04739338</v>
      </c>
      <c r="R274" s="61">
        <f t="shared" si="268"/>
        <v>2578589.9526066184</v>
      </c>
      <c r="S274" s="61">
        <f t="shared" si="269"/>
        <v>59006635.07109005</v>
      </c>
      <c r="T274" s="61">
        <f t="shared" si="244"/>
        <v>61709138.957345977</v>
      </c>
      <c r="U274" s="61">
        <f t="shared" si="270"/>
        <v>542861.04265402257</v>
      </c>
      <c r="V274" s="61">
        <f t="shared" si="246"/>
        <v>3121450.995260641</v>
      </c>
      <c r="X274" s="107"/>
      <c r="Y274" s="107"/>
      <c r="Z274" s="108"/>
      <c r="AA274" s="108"/>
    </row>
    <row r="275" spans="2:27" x14ac:dyDescent="0.2">
      <c r="B275" s="30" t="s">
        <v>521</v>
      </c>
      <c r="C275" s="6">
        <v>58</v>
      </c>
      <c r="D275" s="22">
        <v>12644000</v>
      </c>
      <c r="E275" s="32">
        <v>5.5E-2</v>
      </c>
      <c r="F275" s="22">
        <f t="shared" ref="F275" si="281">+ROUND((D275*E275)+D275,-3)</f>
        <v>13339000</v>
      </c>
      <c r="G275" s="32">
        <v>1.4999999999999999E-2</v>
      </c>
      <c r="H275" s="22">
        <f t="shared" ref="H275" si="282">+(F275*G275)+F275</f>
        <v>13539085</v>
      </c>
      <c r="I275" s="32"/>
      <c r="J275" s="22"/>
      <c r="K275" s="63">
        <v>5</v>
      </c>
      <c r="L275" s="22">
        <v>22785750</v>
      </c>
      <c r="M275" s="63">
        <v>5</v>
      </c>
      <c r="N275" s="22">
        <v>52355450</v>
      </c>
      <c r="O275" s="22">
        <f t="shared" si="265"/>
        <v>75141200</v>
      </c>
      <c r="P275" s="22">
        <f t="shared" si="266"/>
        <v>21597867.298578199</v>
      </c>
      <c r="Q275" s="61">
        <f t="shared" si="267"/>
        <v>22587049.620853081</v>
      </c>
      <c r="R275" s="61">
        <f t="shared" si="268"/>
        <v>198700.37914691865</v>
      </c>
      <c r="S275" s="61">
        <f t="shared" si="269"/>
        <v>49626018.957345977</v>
      </c>
      <c r="T275" s="61">
        <f t="shared" si="244"/>
        <v>51898890.625592425</v>
      </c>
      <c r="U275" s="61">
        <f t="shared" si="270"/>
        <v>456559.37440757453</v>
      </c>
      <c r="V275" s="61">
        <f t="shared" si="246"/>
        <v>655259.75355449319</v>
      </c>
      <c r="X275" s="107"/>
      <c r="Y275" s="107"/>
      <c r="Z275" s="108"/>
      <c r="AA275" s="108"/>
    </row>
    <row r="276" spans="2:27" x14ac:dyDescent="0.2">
      <c r="B276" s="30" t="s">
        <v>337</v>
      </c>
      <c r="C276" s="6">
        <v>58</v>
      </c>
      <c r="D276" s="22">
        <v>11647000</v>
      </c>
      <c r="E276" s="32">
        <v>5.5E-2</v>
      </c>
      <c r="F276" s="22">
        <f t="shared" si="247"/>
        <v>12288000</v>
      </c>
      <c r="G276" s="32">
        <v>1.4999999999999999E-2</v>
      </c>
      <c r="H276" s="22">
        <f t="shared" si="248"/>
        <v>12472320</v>
      </c>
      <c r="I276" s="32"/>
      <c r="J276" s="22"/>
      <c r="K276" s="63">
        <v>11</v>
      </c>
      <c r="L276" s="22">
        <v>133939200</v>
      </c>
      <c r="M276" s="63">
        <v>12</v>
      </c>
      <c r="N276" s="22">
        <v>143769600</v>
      </c>
      <c r="O276" s="22">
        <f t="shared" si="265"/>
        <v>277708800</v>
      </c>
      <c r="P276" s="22">
        <f t="shared" si="266"/>
        <v>126956587.67772512</v>
      </c>
      <c r="Q276" s="61">
        <f t="shared" si="267"/>
        <v>132771199.39336494</v>
      </c>
      <c r="R276" s="61">
        <f t="shared" si="268"/>
        <v>1168000.6066350639</v>
      </c>
      <c r="S276" s="61">
        <f t="shared" si="269"/>
        <v>136274502.36966825</v>
      </c>
      <c r="T276" s="61">
        <f t="shared" si="244"/>
        <v>142515874.57819906</v>
      </c>
      <c r="U276" s="61">
        <f t="shared" si="270"/>
        <v>1253725.4218009412</v>
      </c>
      <c r="V276" s="61">
        <f t="shared" si="246"/>
        <v>2421726.0284360051</v>
      </c>
      <c r="X276" s="107"/>
      <c r="Y276" s="107"/>
      <c r="Z276" s="108"/>
      <c r="AA276" s="108"/>
    </row>
    <row r="277" spans="2:27" x14ac:dyDescent="0.2">
      <c r="B277" s="30" t="s">
        <v>338</v>
      </c>
      <c r="C277" s="6">
        <v>116</v>
      </c>
      <c r="D277" s="22">
        <v>16564000</v>
      </c>
      <c r="E277" s="32">
        <v>5.5E-2</v>
      </c>
      <c r="F277" s="22">
        <f t="shared" si="247"/>
        <v>17475000</v>
      </c>
      <c r="G277" s="32">
        <v>0.01</v>
      </c>
      <c r="H277" s="22">
        <f>+(F277*G277)+F277</f>
        <v>17649750</v>
      </c>
      <c r="I277" s="32"/>
      <c r="J277" s="22"/>
      <c r="K277" s="63">
        <v>5</v>
      </c>
      <c r="L277" s="22">
        <v>80385000</v>
      </c>
      <c r="M277" s="63">
        <v>3</v>
      </c>
      <c r="N277" s="22">
        <v>47182500</v>
      </c>
      <c r="O277" s="22">
        <f t="shared" si="265"/>
        <v>127567500</v>
      </c>
      <c r="P277" s="22">
        <f t="shared" si="266"/>
        <v>76194312.796208531</v>
      </c>
      <c r="Q277" s="61">
        <f t="shared" si="267"/>
        <v>79684012.322274879</v>
      </c>
      <c r="R277" s="61">
        <f t="shared" si="268"/>
        <v>700987.67772512138</v>
      </c>
      <c r="S277" s="61">
        <f t="shared" si="269"/>
        <v>44722748.815165877</v>
      </c>
      <c r="T277" s="61">
        <f t="shared" si="244"/>
        <v>46771050.710900478</v>
      </c>
      <c r="U277" s="61">
        <f t="shared" si="270"/>
        <v>411449.28909952193</v>
      </c>
      <c r="V277" s="61">
        <f t="shared" si="246"/>
        <v>1112436.9668246433</v>
      </c>
      <c r="X277" s="107"/>
      <c r="Y277" s="107"/>
      <c r="Z277" s="108"/>
      <c r="AA277" s="108"/>
    </row>
    <row r="278" spans="2:27" x14ac:dyDescent="0.2">
      <c r="B278" s="225" t="s">
        <v>196</v>
      </c>
      <c r="C278" s="6">
        <v>189</v>
      </c>
      <c r="D278" s="22">
        <v>19621000</v>
      </c>
      <c r="E278" s="32">
        <v>5.5E-2</v>
      </c>
      <c r="F278" s="22">
        <f t="shared" si="247"/>
        <v>20700000</v>
      </c>
      <c r="G278" s="32">
        <v>0.01</v>
      </c>
      <c r="H278" s="22">
        <f t="shared" ref="H278" si="283">+(F278*G278)+F278</f>
        <v>20907000</v>
      </c>
      <c r="I278" s="32"/>
      <c r="J278" s="22"/>
      <c r="K278" s="63">
        <v>11</v>
      </c>
      <c r="L278" s="22">
        <v>192510000</v>
      </c>
      <c r="M278" s="63">
        <v>11</v>
      </c>
      <c r="N278" s="22">
        <v>194580000</v>
      </c>
      <c r="O278" s="22">
        <f t="shared" si="265"/>
        <v>387090000</v>
      </c>
      <c r="P278" s="22">
        <f t="shared" si="266"/>
        <v>182473933.6492891</v>
      </c>
      <c r="Q278" s="61">
        <f t="shared" si="267"/>
        <v>190831239.81042653</v>
      </c>
      <c r="R278" s="61">
        <f t="shared" si="268"/>
        <v>1678760.1895734668</v>
      </c>
      <c r="S278" s="61">
        <f t="shared" si="269"/>
        <v>184436018.95734599</v>
      </c>
      <c r="T278" s="61">
        <f t="shared" si="244"/>
        <v>192883188.62559244</v>
      </c>
      <c r="U278" s="61">
        <f t="shared" si="270"/>
        <v>1696811.3744075596</v>
      </c>
      <c r="V278" s="61">
        <f t="shared" si="246"/>
        <v>3375571.5639810264</v>
      </c>
      <c r="X278" s="107"/>
      <c r="Y278" s="107"/>
      <c r="Z278" s="108"/>
      <c r="AA278" s="108"/>
    </row>
    <row r="279" spans="2:27" x14ac:dyDescent="0.2">
      <c r="B279" s="33" t="s">
        <v>221</v>
      </c>
      <c r="C279" s="6"/>
      <c r="D279" s="31"/>
      <c r="E279" s="32"/>
      <c r="F279" s="31"/>
      <c r="G279" s="6"/>
      <c r="H279" s="61"/>
      <c r="I279" s="6"/>
      <c r="J279" s="61"/>
      <c r="K279" s="34"/>
      <c r="L279" s="63"/>
      <c r="M279" s="63"/>
      <c r="N279" s="223"/>
      <c r="O279" s="22"/>
      <c r="P279" s="61"/>
      <c r="Q279" s="61"/>
      <c r="R279" s="61"/>
      <c r="S279" s="61"/>
      <c r="T279" s="61"/>
      <c r="U279" s="61"/>
      <c r="V279" s="62"/>
      <c r="X279" s="107"/>
      <c r="Y279" s="107"/>
      <c r="Z279" s="108"/>
      <c r="AA279" s="108"/>
    </row>
    <row r="280" spans="2:27" x14ac:dyDescent="0.2">
      <c r="B280" s="30" t="s">
        <v>327</v>
      </c>
      <c r="C280" s="6">
        <v>45</v>
      </c>
      <c r="D280" s="22">
        <v>10370000</v>
      </c>
      <c r="E280" s="32">
        <v>5.5E-2</v>
      </c>
      <c r="F280" s="22">
        <f t="shared" ref="F280:F283" si="284">+ROUND((D280*E280)+D280,-3)</f>
        <v>10940000</v>
      </c>
      <c r="G280" s="32">
        <v>1.4999999999999999E-2</v>
      </c>
      <c r="H280" s="22">
        <f t="shared" ref="H280:H283" si="285">+(F280*G280)+F280</f>
        <v>11104100</v>
      </c>
      <c r="I280" s="32">
        <v>0.02</v>
      </c>
      <c r="J280" s="22">
        <f t="shared" ref="J280:J283" si="286">+(F280*I280)+F280</f>
        <v>11158800</v>
      </c>
      <c r="K280" s="63">
        <v>9</v>
      </c>
      <c r="L280" s="22">
        <v>89708000</v>
      </c>
      <c r="M280" s="63">
        <v>7</v>
      </c>
      <c r="N280" s="22">
        <v>60170000</v>
      </c>
      <c r="O280" s="22">
        <f>L280+N280</f>
        <v>149878000</v>
      </c>
      <c r="P280" s="22">
        <f>L280/(1+E280)</f>
        <v>85031279.620853081</v>
      </c>
      <c r="Q280" s="61">
        <f>(P280*$Q$8)+P280</f>
        <v>88925712.22748816</v>
      </c>
      <c r="R280" s="61">
        <f>L280-Q280</f>
        <v>782287.77251183987</v>
      </c>
      <c r="S280" s="61">
        <f>N280/(1+E280)</f>
        <v>57033175.355450243</v>
      </c>
      <c r="T280" s="61">
        <f t="shared" ref="T280:T283" si="287">(S280*$T$8)+S280</f>
        <v>59645294.786729865</v>
      </c>
      <c r="U280" s="61">
        <f>N280-T280</f>
        <v>524705.21327013522</v>
      </c>
      <c r="V280" s="61">
        <f t="shared" ref="V280:V283" si="288">R280+U280</f>
        <v>1306992.9857819751</v>
      </c>
      <c r="X280" s="107"/>
      <c r="Y280" s="107"/>
      <c r="Z280" s="108"/>
      <c r="AA280" s="108"/>
    </row>
    <row r="281" spans="2:27" x14ac:dyDescent="0.2">
      <c r="B281" s="30" t="s">
        <v>364</v>
      </c>
      <c r="C281" s="6">
        <v>43</v>
      </c>
      <c r="D281" s="22">
        <v>9852000</v>
      </c>
      <c r="E281" s="32">
        <v>5.5E-2</v>
      </c>
      <c r="F281" s="22">
        <f t="shared" si="284"/>
        <v>10394000</v>
      </c>
      <c r="G281" s="32">
        <v>1.4999999999999999E-2</v>
      </c>
      <c r="H281" s="22">
        <f t="shared" si="285"/>
        <v>10549910</v>
      </c>
      <c r="I281" s="32">
        <v>0.02</v>
      </c>
      <c r="J281" s="22">
        <f t="shared" si="286"/>
        <v>10601880</v>
      </c>
      <c r="K281" s="63">
        <v>0</v>
      </c>
      <c r="L281" s="22">
        <v>0</v>
      </c>
      <c r="M281" s="63">
        <v>5</v>
      </c>
      <c r="N281" s="22">
        <v>50930600</v>
      </c>
      <c r="O281" s="22">
        <f>L281+N281</f>
        <v>50930600</v>
      </c>
      <c r="P281" s="22">
        <f>L281/(1+E281)</f>
        <v>0</v>
      </c>
      <c r="Q281" s="61">
        <f>(P281*$Q$8)+P281</f>
        <v>0</v>
      </c>
      <c r="R281" s="61">
        <f>L281-Q281</f>
        <v>0</v>
      </c>
      <c r="S281" s="61">
        <f>N281/(1+E281)</f>
        <v>48275450.236966826</v>
      </c>
      <c r="T281" s="61">
        <f t="shared" si="287"/>
        <v>50486465.857819907</v>
      </c>
      <c r="U281" s="61">
        <f>N281-T281</f>
        <v>444134.14218009263</v>
      </c>
      <c r="V281" s="61">
        <f t="shared" si="288"/>
        <v>444134.14218009263</v>
      </c>
      <c r="X281" s="107"/>
      <c r="Y281" s="107"/>
      <c r="Z281" s="108"/>
      <c r="AA281" s="108"/>
    </row>
    <row r="282" spans="2:27" x14ac:dyDescent="0.2">
      <c r="B282" s="30" t="s">
        <v>146</v>
      </c>
      <c r="C282" s="6">
        <v>48</v>
      </c>
      <c r="D282" s="22">
        <v>12475000</v>
      </c>
      <c r="E282" s="32">
        <v>5.5E-2</v>
      </c>
      <c r="F282" s="22">
        <f t="shared" si="284"/>
        <v>13161000</v>
      </c>
      <c r="G282" s="32">
        <v>1.4999999999999999E-2</v>
      </c>
      <c r="H282" s="22">
        <f t="shared" si="285"/>
        <v>13358415</v>
      </c>
      <c r="I282" s="32">
        <v>0.02</v>
      </c>
      <c r="J282" s="22">
        <f t="shared" si="286"/>
        <v>13424220</v>
      </c>
      <c r="K282" s="63">
        <v>39</v>
      </c>
      <c r="L282" s="22">
        <v>493537500</v>
      </c>
      <c r="M282" s="63">
        <v>42</v>
      </c>
      <c r="N282" s="22">
        <v>533020500</v>
      </c>
      <c r="O282" s="22">
        <f>L282+N282</f>
        <v>1026558000</v>
      </c>
      <c r="P282" s="22">
        <f>L282/(1+E282)</f>
        <v>467808056.87203795</v>
      </c>
      <c r="Q282" s="61">
        <f>(P282*$Q$8)+P282</f>
        <v>489233665.87677729</v>
      </c>
      <c r="R282" s="61">
        <f>L282-Q282</f>
        <v>4303834.1232227087</v>
      </c>
      <c r="S282" s="61">
        <f>N282/(1+E282)</f>
        <v>505232701.42180097</v>
      </c>
      <c r="T282" s="61">
        <f t="shared" si="287"/>
        <v>528372359.14691943</v>
      </c>
      <c r="U282" s="61">
        <f>N282-T282</f>
        <v>4648140.8530805707</v>
      </c>
      <c r="V282" s="61">
        <f t="shared" si="288"/>
        <v>8951974.9763032794</v>
      </c>
      <c r="X282" s="107"/>
      <c r="Y282" s="107"/>
      <c r="Z282" s="108"/>
      <c r="AA282" s="108"/>
    </row>
    <row r="283" spans="2:27" x14ac:dyDescent="0.2">
      <c r="B283" s="30" t="s">
        <v>328</v>
      </c>
      <c r="C283" s="6">
        <v>93</v>
      </c>
      <c r="D283" s="22">
        <v>15803000</v>
      </c>
      <c r="E283" s="32">
        <v>0</v>
      </c>
      <c r="F283" s="22">
        <f t="shared" si="284"/>
        <v>15803000</v>
      </c>
      <c r="G283" s="32">
        <v>1.4999999999999999E-2</v>
      </c>
      <c r="H283" s="22">
        <f t="shared" si="285"/>
        <v>16040045</v>
      </c>
      <c r="I283" s="32">
        <v>0.02</v>
      </c>
      <c r="J283" s="22">
        <f t="shared" si="286"/>
        <v>16119060</v>
      </c>
      <c r="K283" s="63">
        <v>12</v>
      </c>
      <c r="L283" s="22">
        <v>116942200</v>
      </c>
      <c r="M283" s="63">
        <v>12</v>
      </c>
      <c r="N283" s="22">
        <v>128004300</v>
      </c>
      <c r="O283" s="22">
        <f>L283+N283</f>
        <v>244946500</v>
      </c>
      <c r="P283" s="22">
        <f>L283/(1+E283)</f>
        <v>116942200</v>
      </c>
      <c r="Q283" s="61">
        <f>(P283*$Q$8)+P283</f>
        <v>122298152.76000001</v>
      </c>
      <c r="R283" s="61">
        <f>L283-Q283</f>
        <v>-5355952.7600000054</v>
      </c>
      <c r="S283" s="61">
        <f>N283/(1+E283)</f>
        <v>128004300</v>
      </c>
      <c r="T283" s="61">
        <f t="shared" si="287"/>
        <v>133866896.94</v>
      </c>
      <c r="U283" s="61">
        <f>N283-T283</f>
        <v>-5862596.9399999976</v>
      </c>
      <c r="V283" s="61">
        <f t="shared" si="288"/>
        <v>-11218549.700000003</v>
      </c>
      <c r="X283" s="107"/>
      <c r="Y283" s="107"/>
      <c r="Z283" s="108"/>
      <c r="AA283" s="108"/>
    </row>
    <row r="284" spans="2:27" x14ac:dyDescent="0.2">
      <c r="B284" s="33" t="s">
        <v>222</v>
      </c>
      <c r="C284" s="6"/>
      <c r="D284" s="31"/>
      <c r="E284" s="32"/>
      <c r="F284" s="31"/>
      <c r="G284" s="6"/>
      <c r="H284" s="61"/>
      <c r="I284" s="6"/>
      <c r="J284" s="61"/>
      <c r="K284" s="34"/>
      <c r="L284" s="34"/>
      <c r="M284" s="63"/>
      <c r="N284" s="223"/>
      <c r="O284" s="22"/>
      <c r="P284" s="61"/>
      <c r="Q284" s="61"/>
      <c r="R284" s="61"/>
      <c r="S284" s="61"/>
      <c r="T284" s="61"/>
      <c r="U284" s="61"/>
      <c r="V284" s="62"/>
      <c r="X284" s="107"/>
      <c r="Y284" s="107"/>
      <c r="Z284" s="108"/>
      <c r="AA284" s="108"/>
    </row>
    <row r="285" spans="2:27" x14ac:dyDescent="0.2">
      <c r="B285" s="30" t="s">
        <v>153</v>
      </c>
      <c r="C285" s="6">
        <v>260</v>
      </c>
      <c r="D285" s="22">
        <v>36081000</v>
      </c>
      <c r="E285" s="32">
        <v>5.5E-2</v>
      </c>
      <c r="F285" s="22">
        <f t="shared" ref="F285:F291" si="289">+ROUND((D285*E285)+D285,-3)</f>
        <v>38065000</v>
      </c>
      <c r="G285" s="32">
        <v>1.4999999999999999E-2</v>
      </c>
      <c r="H285" s="22">
        <f t="shared" ref="H285:H291" si="290">+(F285*G285)+F285</f>
        <v>38635975</v>
      </c>
      <c r="I285" s="32">
        <v>0.02</v>
      </c>
      <c r="J285" s="22">
        <f t="shared" ref="J285" si="291">+(F285*I285)+F285</f>
        <v>38826300</v>
      </c>
      <c r="K285" s="63">
        <v>28</v>
      </c>
      <c r="L285" s="22">
        <v>963044500</v>
      </c>
      <c r="M285" s="63"/>
      <c r="N285" s="22">
        <v>0</v>
      </c>
      <c r="O285" s="22">
        <f t="shared" ref="O285:O291" si="292">L285+N285</f>
        <v>963044500</v>
      </c>
      <c r="P285" s="22">
        <f t="shared" ref="P285:P291" si="293">L285/(1+E285)</f>
        <v>912838388.62559247</v>
      </c>
      <c r="Q285" s="61">
        <f t="shared" ref="Q285:Q291" si="294">(P285*$Q$8)+P285</f>
        <v>954646386.82464457</v>
      </c>
      <c r="R285" s="61">
        <f t="shared" ref="R285:R291" si="295">L285-Q285</f>
        <v>8398113.1753554344</v>
      </c>
      <c r="S285" s="61">
        <f t="shared" ref="S285:S291" si="296">N285/(1+E285)</f>
        <v>0</v>
      </c>
      <c r="T285" s="61">
        <f t="shared" ref="T285:T291" si="297">(S285*$T$8)+S285</f>
        <v>0</v>
      </c>
      <c r="U285" s="61">
        <f t="shared" ref="U285:U291" si="298">N285-T285</f>
        <v>0</v>
      </c>
      <c r="V285" s="61">
        <f t="shared" ref="V285:V291" si="299">R285+U285</f>
        <v>8398113.1753554344</v>
      </c>
      <c r="X285" s="107"/>
      <c r="Y285" s="107"/>
      <c r="Z285" s="108"/>
      <c r="AA285" s="108"/>
    </row>
    <row r="286" spans="2:27" x14ac:dyDescent="0.2">
      <c r="B286" s="30" t="s">
        <v>147</v>
      </c>
      <c r="C286" s="6">
        <v>108</v>
      </c>
      <c r="D286" s="22">
        <v>18040000</v>
      </c>
      <c r="E286" s="32">
        <v>5.5E-2</v>
      </c>
      <c r="F286" s="22">
        <f t="shared" si="289"/>
        <v>19032000</v>
      </c>
      <c r="G286" s="32">
        <v>0.01</v>
      </c>
      <c r="H286" s="22">
        <f t="shared" si="290"/>
        <v>19222320</v>
      </c>
      <c r="I286" s="32"/>
      <c r="J286" s="22"/>
      <c r="K286" s="63">
        <v>20</v>
      </c>
      <c r="L286" s="22">
        <v>376833600</v>
      </c>
      <c r="M286" s="63">
        <v>20</v>
      </c>
      <c r="N286" s="22">
        <v>376833600</v>
      </c>
      <c r="O286" s="22">
        <f t="shared" si="292"/>
        <v>753667200</v>
      </c>
      <c r="P286" s="22">
        <f t="shared" si="293"/>
        <v>357188246.44549763</v>
      </c>
      <c r="Q286" s="61">
        <f t="shared" si="294"/>
        <v>373547468.1327014</v>
      </c>
      <c r="R286" s="61">
        <f t="shared" si="295"/>
        <v>3286131.8672986031</v>
      </c>
      <c r="S286" s="61">
        <f t="shared" si="296"/>
        <v>357188246.44549763</v>
      </c>
      <c r="T286" s="61">
        <f t="shared" si="297"/>
        <v>373547468.1327014</v>
      </c>
      <c r="U286" s="61">
        <f t="shared" si="298"/>
        <v>3286131.8672986031</v>
      </c>
      <c r="V286" s="61">
        <f t="shared" si="299"/>
        <v>6572263.7345972061</v>
      </c>
      <c r="X286" s="107"/>
      <c r="Y286" s="107"/>
      <c r="Z286" s="108"/>
      <c r="AA286" s="108"/>
    </row>
    <row r="287" spans="2:27" x14ac:dyDescent="0.2">
      <c r="B287" s="30" t="s">
        <v>152</v>
      </c>
      <c r="C287" s="6">
        <v>112</v>
      </c>
      <c r="D287" s="22">
        <v>18040000</v>
      </c>
      <c r="E287" s="32">
        <v>5.5E-2</v>
      </c>
      <c r="F287" s="22">
        <f t="shared" si="289"/>
        <v>19032000</v>
      </c>
      <c r="G287" s="32">
        <v>0.01</v>
      </c>
      <c r="H287" s="22">
        <f t="shared" si="290"/>
        <v>19222320</v>
      </c>
      <c r="I287" s="32"/>
      <c r="J287" s="22"/>
      <c r="K287" s="63">
        <v>19</v>
      </c>
      <c r="L287" s="22">
        <v>355898400</v>
      </c>
      <c r="M287" s="63">
        <v>19</v>
      </c>
      <c r="N287" s="22">
        <v>355898400</v>
      </c>
      <c r="O287" s="22">
        <f t="shared" si="292"/>
        <v>711796800</v>
      </c>
      <c r="P287" s="22">
        <f t="shared" si="293"/>
        <v>337344454.97630334</v>
      </c>
      <c r="Q287" s="61">
        <f t="shared" si="294"/>
        <v>352794831.01421803</v>
      </c>
      <c r="R287" s="61">
        <f t="shared" si="295"/>
        <v>3103568.9857819676</v>
      </c>
      <c r="S287" s="61">
        <f t="shared" si="296"/>
        <v>337344454.97630334</v>
      </c>
      <c r="T287" s="61">
        <f t="shared" si="297"/>
        <v>352794831.01421803</v>
      </c>
      <c r="U287" s="61">
        <f t="shared" si="298"/>
        <v>3103568.9857819676</v>
      </c>
      <c r="V287" s="61">
        <f t="shared" si="299"/>
        <v>6207137.9715639353</v>
      </c>
      <c r="X287" s="107"/>
      <c r="Y287" s="107"/>
      <c r="Z287" s="108"/>
      <c r="AA287" s="108"/>
    </row>
    <row r="288" spans="2:27" x14ac:dyDescent="0.2">
      <c r="B288" s="30" t="s">
        <v>149</v>
      </c>
      <c r="C288" s="6">
        <v>156</v>
      </c>
      <c r="D288" s="22">
        <v>18040000</v>
      </c>
      <c r="E288" s="32">
        <v>5.5E-2</v>
      </c>
      <c r="F288" s="22">
        <f t="shared" si="289"/>
        <v>19032000</v>
      </c>
      <c r="G288" s="32">
        <v>0.01</v>
      </c>
      <c r="H288" s="22">
        <f t="shared" si="290"/>
        <v>19222320</v>
      </c>
      <c r="I288" s="32"/>
      <c r="J288" s="22"/>
      <c r="K288" s="63">
        <v>24</v>
      </c>
      <c r="L288" s="22">
        <v>405381600</v>
      </c>
      <c r="M288" s="63">
        <v>24</v>
      </c>
      <c r="N288" s="22">
        <v>405381600</v>
      </c>
      <c r="O288" s="22">
        <f t="shared" si="292"/>
        <v>810763200</v>
      </c>
      <c r="P288" s="22">
        <f t="shared" si="293"/>
        <v>384247962.08530807</v>
      </c>
      <c r="Q288" s="61">
        <f t="shared" si="294"/>
        <v>401846518.74881518</v>
      </c>
      <c r="R288" s="61">
        <f t="shared" si="295"/>
        <v>3535081.2511848211</v>
      </c>
      <c r="S288" s="61">
        <f t="shared" si="296"/>
        <v>384247962.08530807</v>
      </c>
      <c r="T288" s="61">
        <f t="shared" si="297"/>
        <v>401846518.74881518</v>
      </c>
      <c r="U288" s="61">
        <f t="shared" si="298"/>
        <v>3535081.2511848211</v>
      </c>
      <c r="V288" s="61">
        <f t="shared" si="299"/>
        <v>7070162.5023696423</v>
      </c>
      <c r="X288" s="107"/>
      <c r="Y288" s="107"/>
      <c r="Z288" s="108"/>
      <c r="AA288" s="108"/>
    </row>
    <row r="289" spans="2:27" x14ac:dyDescent="0.2">
      <c r="B289" s="30" t="s">
        <v>148</v>
      </c>
      <c r="C289" s="6">
        <v>112</v>
      </c>
      <c r="D289" s="22">
        <v>18040000</v>
      </c>
      <c r="E289" s="32">
        <v>5.5E-2</v>
      </c>
      <c r="F289" s="22">
        <f t="shared" si="289"/>
        <v>19032000</v>
      </c>
      <c r="G289" s="32">
        <v>0.01</v>
      </c>
      <c r="H289" s="22">
        <f t="shared" si="290"/>
        <v>19222320</v>
      </c>
      <c r="I289" s="32"/>
      <c r="J289" s="22"/>
      <c r="K289" s="63">
        <v>18</v>
      </c>
      <c r="L289" s="22">
        <v>329253600</v>
      </c>
      <c r="M289" s="63">
        <v>18</v>
      </c>
      <c r="N289" s="22">
        <v>329253600</v>
      </c>
      <c r="O289" s="22">
        <f t="shared" si="292"/>
        <v>658507200</v>
      </c>
      <c r="P289" s="22">
        <f t="shared" si="293"/>
        <v>312088720.37914693</v>
      </c>
      <c r="Q289" s="61">
        <f t="shared" si="294"/>
        <v>326382383.77251184</v>
      </c>
      <c r="R289" s="61">
        <f t="shared" si="295"/>
        <v>2871216.2274881601</v>
      </c>
      <c r="S289" s="61">
        <f t="shared" si="296"/>
        <v>312088720.37914693</v>
      </c>
      <c r="T289" s="61">
        <f t="shared" si="297"/>
        <v>326382383.77251184</v>
      </c>
      <c r="U289" s="61">
        <f t="shared" si="298"/>
        <v>2871216.2274881601</v>
      </c>
      <c r="V289" s="61">
        <f t="shared" si="299"/>
        <v>5742432.4549763203</v>
      </c>
      <c r="X289" s="107"/>
      <c r="Y289" s="107"/>
      <c r="Z289" s="108"/>
      <c r="AA289" s="108"/>
    </row>
    <row r="290" spans="2:27" x14ac:dyDescent="0.2">
      <c r="B290" s="30" t="s">
        <v>150</v>
      </c>
      <c r="C290" s="6">
        <v>111</v>
      </c>
      <c r="D290" s="22">
        <v>18040000</v>
      </c>
      <c r="E290" s="32">
        <v>5.5E-2</v>
      </c>
      <c r="F290" s="22">
        <f t="shared" si="289"/>
        <v>19032000</v>
      </c>
      <c r="G290" s="32">
        <v>0.01</v>
      </c>
      <c r="H290" s="22">
        <f t="shared" si="290"/>
        <v>19222320</v>
      </c>
      <c r="I290" s="32"/>
      <c r="J290" s="22"/>
      <c r="K290" s="63">
        <v>29</v>
      </c>
      <c r="L290" s="22">
        <v>542412000</v>
      </c>
      <c r="M290" s="63">
        <v>29</v>
      </c>
      <c r="N290" s="22">
        <v>542412000</v>
      </c>
      <c r="O290" s="22">
        <f t="shared" si="292"/>
        <v>1084824000</v>
      </c>
      <c r="P290" s="22">
        <f t="shared" si="293"/>
        <v>514134597.15639812</v>
      </c>
      <c r="Q290" s="61">
        <f t="shared" si="294"/>
        <v>537681961.70616114</v>
      </c>
      <c r="R290" s="61">
        <f t="shared" si="295"/>
        <v>4730038.2938388586</v>
      </c>
      <c r="S290" s="61">
        <f t="shared" si="296"/>
        <v>514134597.15639812</v>
      </c>
      <c r="T290" s="61">
        <f t="shared" si="297"/>
        <v>537681961.70616114</v>
      </c>
      <c r="U290" s="61">
        <f t="shared" si="298"/>
        <v>4730038.2938388586</v>
      </c>
      <c r="V290" s="61">
        <f t="shared" si="299"/>
        <v>9460076.5876777172</v>
      </c>
      <c r="X290" s="107"/>
      <c r="Y290" s="107"/>
      <c r="Z290" s="108"/>
      <c r="AA290" s="108"/>
    </row>
    <row r="291" spans="2:27" x14ac:dyDescent="0.2">
      <c r="B291" s="30" t="s">
        <v>151</v>
      </c>
      <c r="C291" s="6">
        <v>140</v>
      </c>
      <c r="D291" s="22">
        <v>18040000</v>
      </c>
      <c r="E291" s="32">
        <v>5.5E-2</v>
      </c>
      <c r="F291" s="22">
        <f t="shared" si="289"/>
        <v>19032000</v>
      </c>
      <c r="G291" s="32">
        <v>0.01</v>
      </c>
      <c r="H291" s="22">
        <f t="shared" si="290"/>
        <v>19222320</v>
      </c>
      <c r="I291" s="32"/>
      <c r="J291" s="22"/>
      <c r="K291" s="63">
        <v>35</v>
      </c>
      <c r="L291" s="22">
        <v>628056000</v>
      </c>
      <c r="M291" s="63">
        <v>27</v>
      </c>
      <c r="N291" s="22">
        <v>491025600</v>
      </c>
      <c r="O291" s="22">
        <f t="shared" si="292"/>
        <v>1119081600</v>
      </c>
      <c r="P291" s="22">
        <f t="shared" si="293"/>
        <v>595313744.07582939</v>
      </c>
      <c r="Q291" s="61">
        <f t="shared" si="294"/>
        <v>622579113.55450237</v>
      </c>
      <c r="R291" s="61">
        <f t="shared" si="295"/>
        <v>5476886.445497632</v>
      </c>
      <c r="S291" s="61">
        <f t="shared" si="296"/>
        <v>465427109.00473934</v>
      </c>
      <c r="T291" s="61">
        <f t="shared" si="297"/>
        <v>486743670.59715641</v>
      </c>
      <c r="U291" s="61">
        <f t="shared" si="298"/>
        <v>4281929.4028435946</v>
      </c>
      <c r="V291" s="61">
        <f t="shared" si="299"/>
        <v>9758815.8483412266</v>
      </c>
      <c r="X291" s="107"/>
      <c r="Y291" s="107"/>
      <c r="Z291" s="108"/>
      <c r="AA291" s="108"/>
    </row>
    <row r="292" spans="2:27" x14ac:dyDescent="0.2">
      <c r="B292" s="33" t="s">
        <v>231</v>
      </c>
      <c r="C292" s="6"/>
      <c r="D292" s="31"/>
      <c r="E292" s="32"/>
      <c r="F292" s="31"/>
      <c r="G292" s="6"/>
      <c r="H292" s="61"/>
      <c r="I292" s="6"/>
      <c r="J292" s="61"/>
      <c r="K292" s="34"/>
      <c r="L292" s="34"/>
      <c r="M292" s="63"/>
      <c r="N292" s="223"/>
      <c r="O292" s="22"/>
      <c r="P292" s="61"/>
      <c r="Q292" s="61"/>
      <c r="R292" s="61"/>
      <c r="S292" s="61"/>
      <c r="T292" s="61"/>
      <c r="U292" s="61"/>
      <c r="V292" s="62"/>
      <c r="X292" s="107"/>
      <c r="Y292" s="107"/>
      <c r="Z292" s="108"/>
      <c r="AA292" s="108"/>
    </row>
    <row r="293" spans="2:27" x14ac:dyDescent="0.2">
      <c r="B293" s="30" t="s">
        <v>154</v>
      </c>
      <c r="C293" s="6">
        <v>80</v>
      </c>
      <c r="D293" s="22">
        <v>7311000</v>
      </c>
      <c r="E293" s="32">
        <v>5.5E-2</v>
      </c>
      <c r="F293" s="22">
        <f t="shared" ref="F293:F296" si="300">+ROUND((D293*E293)+D293,-3)</f>
        <v>7713000</v>
      </c>
      <c r="G293" s="32">
        <v>1.4999999999999999E-2</v>
      </c>
      <c r="H293" s="22">
        <f t="shared" ref="H293:H294" si="301">+(F293*G293)+F293</f>
        <v>7828695</v>
      </c>
      <c r="I293" s="32">
        <v>0.02</v>
      </c>
      <c r="J293" s="22">
        <f>+(F293*I293)+F293</f>
        <v>7867260</v>
      </c>
      <c r="K293" s="63">
        <v>21</v>
      </c>
      <c r="L293" s="22">
        <v>151960000</v>
      </c>
      <c r="M293" s="63">
        <v>16</v>
      </c>
      <c r="N293" s="22">
        <v>122251050</v>
      </c>
      <c r="O293" s="22">
        <f>L293+N293</f>
        <v>274211050</v>
      </c>
      <c r="P293" s="22">
        <f>L293/(1+E293)</f>
        <v>144037914.69194314</v>
      </c>
      <c r="Q293" s="61">
        <f>(P293*$Q$8)+P293</f>
        <v>150634851.18483412</v>
      </c>
      <c r="R293" s="61">
        <f>L293-Q293</f>
        <v>1325148.8151658773</v>
      </c>
      <c r="S293" s="61">
        <f>N293/(1+E293)</f>
        <v>115877772.51184835</v>
      </c>
      <c r="T293" s="61">
        <f t="shared" ref="T293:T296" si="302">(S293*$T$8)+S293</f>
        <v>121184974.492891</v>
      </c>
      <c r="U293" s="61">
        <f>N293-T293</f>
        <v>1066075.5071090013</v>
      </c>
      <c r="V293" s="61">
        <f t="shared" ref="V293:V296" si="303">R293+U293</f>
        <v>2391224.3222748786</v>
      </c>
      <c r="X293" s="107"/>
      <c r="Y293" s="107"/>
      <c r="Z293" s="108"/>
      <c r="AA293" s="108"/>
    </row>
    <row r="294" spans="2:27" x14ac:dyDescent="0.2">
      <c r="B294" s="30" t="s">
        <v>342</v>
      </c>
      <c r="C294" s="6">
        <v>64</v>
      </c>
      <c r="D294" s="22">
        <v>7457000</v>
      </c>
      <c r="E294" s="32">
        <v>5.5E-2</v>
      </c>
      <c r="F294" s="22">
        <f t="shared" si="300"/>
        <v>7867000</v>
      </c>
      <c r="G294" s="32">
        <v>1.4999999999999999E-2</v>
      </c>
      <c r="H294" s="22">
        <f t="shared" si="301"/>
        <v>7985005</v>
      </c>
      <c r="I294" s="32">
        <v>0.02</v>
      </c>
      <c r="J294" s="22">
        <f t="shared" ref="J294" si="304">+(F294*I294)+F294</f>
        <v>8024340</v>
      </c>
      <c r="K294" s="63">
        <v>9</v>
      </c>
      <c r="L294" s="22">
        <v>70803000</v>
      </c>
      <c r="M294" s="63">
        <v>8</v>
      </c>
      <c r="N294" s="22">
        <v>62936000</v>
      </c>
      <c r="O294" s="22">
        <f>L294+N294</f>
        <v>133739000</v>
      </c>
      <c r="P294" s="22">
        <f>L294/(1+E294)</f>
        <v>67111848.341232225</v>
      </c>
      <c r="Q294" s="61">
        <f>(P294*$Q$8)+P294</f>
        <v>70185570.995260656</v>
      </c>
      <c r="R294" s="61">
        <f>L294-Q294</f>
        <v>617429.00473934412</v>
      </c>
      <c r="S294" s="61">
        <f>N294/(1+E294)</f>
        <v>59654976.303317539</v>
      </c>
      <c r="T294" s="61">
        <f t="shared" si="302"/>
        <v>62387174.218009479</v>
      </c>
      <c r="U294" s="61">
        <f>N294-T294</f>
        <v>548825.78199052066</v>
      </c>
      <c r="V294" s="61">
        <f t="shared" si="303"/>
        <v>1166254.7867298648</v>
      </c>
      <c r="X294" s="107"/>
      <c r="Y294" s="107"/>
      <c r="Z294" s="108"/>
      <c r="AA294" s="108"/>
    </row>
    <row r="295" spans="2:27" x14ac:dyDescent="0.2">
      <c r="B295" s="30" t="s">
        <v>572</v>
      </c>
      <c r="C295" s="6">
        <v>24</v>
      </c>
      <c r="D295" s="22">
        <v>4200000</v>
      </c>
      <c r="E295" s="32">
        <v>5.5E-2</v>
      </c>
      <c r="F295" s="22">
        <f t="shared" si="300"/>
        <v>4431000</v>
      </c>
      <c r="G295" s="32">
        <v>1.4999999999999999E-2</v>
      </c>
      <c r="H295" s="22">
        <f t="shared" ref="H295:H296" si="305">+(F295*G295)+F295</f>
        <v>4497465</v>
      </c>
      <c r="I295" s="32">
        <v>0.02</v>
      </c>
      <c r="J295" s="22">
        <f>+(F295*I295)+F295</f>
        <v>4519620</v>
      </c>
      <c r="K295" s="63">
        <v>42</v>
      </c>
      <c r="L295" s="22">
        <v>186102000</v>
      </c>
      <c r="M295" s="63">
        <v>43</v>
      </c>
      <c r="N295" s="22">
        <v>189203700</v>
      </c>
      <c r="O295" s="22">
        <f>L295+N295</f>
        <v>375305700</v>
      </c>
      <c r="P295" s="22">
        <f>L295/(1+E295)</f>
        <v>176400000</v>
      </c>
      <c r="Q295" s="61">
        <f>(P295*$Q$8)+P295</f>
        <v>184479120</v>
      </c>
      <c r="R295" s="61">
        <f>L295-Q295</f>
        <v>1622880</v>
      </c>
      <c r="S295" s="61">
        <f>N295/(1+E295)</f>
        <v>179340000</v>
      </c>
      <c r="T295" s="61">
        <f t="shared" si="302"/>
        <v>187553772</v>
      </c>
      <c r="U295" s="61">
        <f>N295-T295</f>
        <v>1649928</v>
      </c>
      <c r="V295" s="61">
        <f t="shared" si="303"/>
        <v>3272808</v>
      </c>
      <c r="X295" s="107"/>
      <c r="Y295" s="107"/>
      <c r="Z295" s="108"/>
      <c r="AA295" s="108"/>
    </row>
    <row r="296" spans="2:27" x14ac:dyDescent="0.2">
      <c r="B296" s="30" t="s">
        <v>343</v>
      </c>
      <c r="C296" s="6">
        <v>80</v>
      </c>
      <c r="D296" s="22">
        <v>7311000</v>
      </c>
      <c r="E296" s="32">
        <v>5.5E-2</v>
      </c>
      <c r="F296" s="22">
        <f t="shared" si="300"/>
        <v>7713000</v>
      </c>
      <c r="G296" s="32">
        <v>1.4999999999999999E-2</v>
      </c>
      <c r="H296" s="22">
        <f t="shared" si="305"/>
        <v>7828695</v>
      </c>
      <c r="I296" s="32">
        <v>0.02</v>
      </c>
      <c r="J296" s="22">
        <f t="shared" ref="J296" si="306">+(F296*I296)+F296</f>
        <v>7867260</v>
      </c>
      <c r="K296" s="63">
        <v>7</v>
      </c>
      <c r="L296" s="22">
        <v>53991000</v>
      </c>
      <c r="M296" s="63">
        <v>3</v>
      </c>
      <c r="N296" s="22">
        <v>23139000</v>
      </c>
      <c r="O296" s="22">
        <f>L296+N296</f>
        <v>77130000</v>
      </c>
      <c r="P296" s="22">
        <f>L296/(1+E296)</f>
        <v>51176303.317535549</v>
      </c>
      <c r="Q296" s="61">
        <f>(P296*$Q$8)+P296</f>
        <v>53520178.009478681</v>
      </c>
      <c r="R296" s="61">
        <f>L296-Q296</f>
        <v>470821.99052131921</v>
      </c>
      <c r="S296" s="61">
        <f>N296/(1+E296)</f>
        <v>21932701.421800949</v>
      </c>
      <c r="T296" s="61">
        <f t="shared" si="302"/>
        <v>22937219.146919433</v>
      </c>
      <c r="U296" s="61">
        <f>N296-T296</f>
        <v>201780.85308056697</v>
      </c>
      <c r="V296" s="61">
        <f t="shared" si="303"/>
        <v>672602.84360188618</v>
      </c>
      <c r="X296" s="107"/>
      <c r="Y296" s="107"/>
      <c r="Z296" s="108"/>
      <c r="AA296" s="108"/>
    </row>
    <row r="297" spans="2:27" x14ac:dyDescent="0.2">
      <c r="B297" s="33" t="s">
        <v>232</v>
      </c>
      <c r="C297" s="6"/>
      <c r="D297" s="31"/>
      <c r="E297" s="32"/>
      <c r="F297" s="31"/>
      <c r="G297" s="6"/>
      <c r="H297" s="61"/>
      <c r="I297" s="6"/>
      <c r="J297" s="61"/>
      <c r="K297" s="34"/>
      <c r="L297" s="34"/>
      <c r="M297" s="63"/>
      <c r="N297" s="223"/>
      <c r="O297" s="22"/>
      <c r="P297" s="61"/>
      <c r="Q297" s="61"/>
      <c r="R297" s="61"/>
      <c r="S297" s="61"/>
      <c r="T297" s="61"/>
      <c r="U297" s="61"/>
      <c r="V297" s="62"/>
      <c r="X297" s="107"/>
      <c r="Y297" s="107"/>
      <c r="Z297" s="108"/>
      <c r="AA297" s="108"/>
    </row>
    <row r="298" spans="2:27" x14ac:dyDescent="0.2">
      <c r="B298" s="30" t="s">
        <v>197</v>
      </c>
      <c r="C298" s="6">
        <v>26</v>
      </c>
      <c r="D298" s="22">
        <v>11464000</v>
      </c>
      <c r="E298" s="32">
        <v>5.5E-2</v>
      </c>
      <c r="F298" s="22">
        <f t="shared" ref="F298:F307" si="307">+ROUND((D298*E298)+D298,-3)</f>
        <v>12095000</v>
      </c>
      <c r="G298" s="32">
        <v>1.4999999999999999E-2</v>
      </c>
      <c r="H298" s="22">
        <f t="shared" ref="H298:H307" si="308">+(F298*G298)+F298</f>
        <v>12276425</v>
      </c>
      <c r="I298" s="32">
        <v>0.02</v>
      </c>
      <c r="J298" s="22">
        <f>+(F298*I298)+F298</f>
        <v>12336900</v>
      </c>
      <c r="K298" s="63">
        <v>48</v>
      </c>
      <c r="L298" s="22">
        <v>567490812</v>
      </c>
      <c r="M298" s="63">
        <v>48</v>
      </c>
      <c r="N298" s="22">
        <v>567984432</v>
      </c>
      <c r="O298" s="22">
        <f t="shared" ref="O298:O307" si="309">L298+N298</f>
        <v>1135475244</v>
      </c>
      <c r="P298" s="22">
        <f t="shared" ref="P298:P307" si="310">L298/(1+E298)</f>
        <v>537905982.93838871</v>
      </c>
      <c r="Q298" s="61">
        <f t="shared" ref="Q298:Q307" si="311">(P298*$Q$8)+P298</f>
        <v>562542076.95696688</v>
      </c>
      <c r="R298" s="61">
        <f t="shared" ref="R298:R307" si="312">L298-Q298</f>
        <v>4948735.043033123</v>
      </c>
      <c r="S298" s="61">
        <f t="shared" ref="S298:S307" si="313">N298/(1+E298)</f>
        <v>538373869.19431281</v>
      </c>
      <c r="T298" s="61">
        <f t="shared" ref="T298:T307" si="314">(S298*$T$8)+S298</f>
        <v>563031392.40341234</v>
      </c>
      <c r="U298" s="61">
        <f t="shared" ref="U298:U307" si="315">N298-T298</f>
        <v>4953039.5965876579</v>
      </c>
      <c r="V298" s="61">
        <f t="shared" ref="V298:V307" si="316">R298+U298</f>
        <v>9901774.6396207809</v>
      </c>
      <c r="X298" s="107"/>
      <c r="Y298" s="107"/>
      <c r="Z298" s="108"/>
      <c r="AA298" s="108"/>
    </row>
    <row r="299" spans="2:27" x14ac:dyDescent="0.2">
      <c r="B299" s="30" t="s">
        <v>198</v>
      </c>
      <c r="C299" s="6">
        <v>26</v>
      </c>
      <c r="D299" s="22">
        <v>9371000</v>
      </c>
      <c r="E299" s="32">
        <v>5.5E-2</v>
      </c>
      <c r="F299" s="22">
        <f t="shared" si="307"/>
        <v>9886000</v>
      </c>
      <c r="G299" s="32">
        <v>1.4999999999999999E-2</v>
      </c>
      <c r="H299" s="22">
        <f t="shared" si="308"/>
        <v>10034290</v>
      </c>
      <c r="I299" s="32">
        <v>0.02</v>
      </c>
      <c r="J299" s="22">
        <f>+(F299*I299)+F299</f>
        <v>10083720</v>
      </c>
      <c r="K299" s="63">
        <v>21</v>
      </c>
      <c r="L299" s="22">
        <v>207606000</v>
      </c>
      <c r="M299" s="63">
        <v>20</v>
      </c>
      <c r="N299" s="22">
        <v>197720000</v>
      </c>
      <c r="O299" s="22">
        <f t="shared" si="309"/>
        <v>405326000</v>
      </c>
      <c r="P299" s="22">
        <f t="shared" si="310"/>
        <v>196782938.38862559</v>
      </c>
      <c r="Q299" s="61">
        <f t="shared" si="311"/>
        <v>205795596.96682465</v>
      </c>
      <c r="R299" s="61">
        <f t="shared" si="312"/>
        <v>1810403.0331753492</v>
      </c>
      <c r="S299" s="61">
        <f t="shared" si="313"/>
        <v>187412322.27488154</v>
      </c>
      <c r="T299" s="61">
        <f t="shared" si="314"/>
        <v>195995806.63507113</v>
      </c>
      <c r="U299" s="61">
        <f t="shared" si="315"/>
        <v>1724193.3649288714</v>
      </c>
      <c r="V299" s="61">
        <f t="shared" si="316"/>
        <v>3534596.3981042206</v>
      </c>
      <c r="X299" s="107"/>
      <c r="Y299" s="107"/>
      <c r="Z299" s="108"/>
      <c r="AA299" s="108"/>
    </row>
    <row r="300" spans="2:27" x14ac:dyDescent="0.2">
      <c r="B300" s="30" t="s">
        <v>199</v>
      </c>
      <c r="C300" s="6">
        <v>25</v>
      </c>
      <c r="D300" s="22">
        <v>11322000</v>
      </c>
      <c r="E300" s="32">
        <v>5.5E-2</v>
      </c>
      <c r="F300" s="22">
        <f t="shared" si="307"/>
        <v>11945000</v>
      </c>
      <c r="G300" s="32">
        <v>1.4999999999999999E-2</v>
      </c>
      <c r="H300" s="22">
        <f t="shared" si="308"/>
        <v>12124175</v>
      </c>
      <c r="I300" s="32">
        <v>0.02</v>
      </c>
      <c r="J300" s="22">
        <f>+(F300*I300)+F300</f>
        <v>12183900</v>
      </c>
      <c r="K300" s="63">
        <v>11</v>
      </c>
      <c r="L300" s="22">
        <v>127530442</v>
      </c>
      <c r="M300" s="63">
        <v>11</v>
      </c>
      <c r="N300" s="22">
        <v>126275715</v>
      </c>
      <c r="O300" s="22">
        <f t="shared" si="309"/>
        <v>253806157</v>
      </c>
      <c r="P300" s="22">
        <f t="shared" si="310"/>
        <v>120881935.54502371</v>
      </c>
      <c r="Q300" s="61">
        <f t="shared" si="311"/>
        <v>126418328.1929858</v>
      </c>
      <c r="R300" s="61">
        <f t="shared" si="312"/>
        <v>1112113.8070141971</v>
      </c>
      <c r="S300" s="61">
        <f t="shared" si="313"/>
        <v>119692620.85308057</v>
      </c>
      <c r="T300" s="61">
        <f t="shared" si="314"/>
        <v>125174542.88815166</v>
      </c>
      <c r="U300" s="61">
        <f t="shared" si="315"/>
        <v>1101172.1118483394</v>
      </c>
      <c r="V300" s="61">
        <f t="shared" si="316"/>
        <v>2213285.9188625365</v>
      </c>
      <c r="X300" s="107"/>
      <c r="Y300" s="107"/>
      <c r="Z300" s="108"/>
      <c r="AA300" s="108"/>
    </row>
    <row r="301" spans="2:27" x14ac:dyDescent="0.2">
      <c r="B301" s="30" t="s">
        <v>156</v>
      </c>
      <c r="C301" s="6">
        <v>24</v>
      </c>
      <c r="D301" s="22">
        <v>11322000</v>
      </c>
      <c r="E301" s="32">
        <v>5.5E-2</v>
      </c>
      <c r="F301" s="22">
        <f t="shared" si="307"/>
        <v>11945000</v>
      </c>
      <c r="G301" s="32">
        <v>1.4999999999999999E-2</v>
      </c>
      <c r="H301" s="22">
        <f t="shared" si="308"/>
        <v>12124175</v>
      </c>
      <c r="I301" s="32">
        <v>0.02</v>
      </c>
      <c r="J301" s="22">
        <f t="shared" ref="J301:J302" si="317">+(F301*I301)+F301</f>
        <v>12183900</v>
      </c>
      <c r="K301" s="63">
        <v>9</v>
      </c>
      <c r="L301" s="22">
        <v>106310500</v>
      </c>
      <c r="M301" s="63">
        <v>9</v>
      </c>
      <c r="N301" s="22">
        <v>106429950</v>
      </c>
      <c r="O301" s="22">
        <f t="shared" si="309"/>
        <v>212740450</v>
      </c>
      <c r="P301" s="22">
        <f t="shared" si="310"/>
        <v>100768246.44549763</v>
      </c>
      <c r="Q301" s="61">
        <f t="shared" si="311"/>
        <v>105383432.13270143</v>
      </c>
      <c r="R301" s="61">
        <f t="shared" si="312"/>
        <v>927067.86729857326</v>
      </c>
      <c r="S301" s="61">
        <f t="shared" si="313"/>
        <v>100881469.1943128</v>
      </c>
      <c r="T301" s="61">
        <f t="shared" si="314"/>
        <v>105501840.48341233</v>
      </c>
      <c r="U301" s="61">
        <f t="shared" si="315"/>
        <v>928109.51658767462</v>
      </c>
      <c r="V301" s="61">
        <f t="shared" si="316"/>
        <v>1855177.3838862479</v>
      </c>
      <c r="X301" s="107"/>
      <c r="Y301" s="107"/>
      <c r="Z301" s="108"/>
      <c r="AA301" s="108"/>
    </row>
    <row r="302" spans="2:27" x14ac:dyDescent="0.2">
      <c r="B302" s="30" t="s">
        <v>157</v>
      </c>
      <c r="C302" s="6">
        <v>40</v>
      </c>
      <c r="D302" s="22">
        <v>12176000</v>
      </c>
      <c r="E302" s="32">
        <v>5.5E-2</v>
      </c>
      <c r="F302" s="22">
        <f t="shared" si="307"/>
        <v>12846000</v>
      </c>
      <c r="G302" s="32">
        <v>1.4999999999999999E-2</v>
      </c>
      <c r="H302" s="22">
        <f t="shared" si="308"/>
        <v>13038690</v>
      </c>
      <c r="I302" s="32">
        <v>0.02</v>
      </c>
      <c r="J302" s="22">
        <f t="shared" si="317"/>
        <v>13102920</v>
      </c>
      <c r="K302" s="63">
        <v>15</v>
      </c>
      <c r="L302" s="22">
        <v>182414110</v>
      </c>
      <c r="M302" s="63">
        <v>15</v>
      </c>
      <c r="N302" s="22">
        <v>187872750</v>
      </c>
      <c r="O302" s="22">
        <f t="shared" si="309"/>
        <v>370286860</v>
      </c>
      <c r="P302" s="22">
        <f t="shared" si="310"/>
        <v>172904369.66824645</v>
      </c>
      <c r="Q302" s="61">
        <f t="shared" si="311"/>
        <v>180823389.79905215</v>
      </c>
      <c r="R302" s="61">
        <f t="shared" si="312"/>
        <v>1590720.2009478509</v>
      </c>
      <c r="S302" s="61">
        <f t="shared" si="313"/>
        <v>178078436.01895735</v>
      </c>
      <c r="T302" s="61">
        <f t="shared" si="314"/>
        <v>186234428.38862559</v>
      </c>
      <c r="U302" s="61">
        <f t="shared" si="315"/>
        <v>1638321.611374408</v>
      </c>
      <c r="V302" s="61">
        <f t="shared" si="316"/>
        <v>3229041.8123222589</v>
      </c>
      <c r="X302" s="107"/>
      <c r="Y302" s="107"/>
      <c r="Z302" s="108"/>
      <c r="AA302" s="108"/>
    </row>
    <row r="303" spans="2:27" x14ac:dyDescent="0.2">
      <c r="B303" s="30" t="s">
        <v>329</v>
      </c>
      <c r="C303" s="6">
        <v>40</v>
      </c>
      <c r="D303" s="22">
        <v>11444000</v>
      </c>
      <c r="E303" s="32">
        <v>5.5E-2</v>
      </c>
      <c r="F303" s="22">
        <f t="shared" si="307"/>
        <v>12073000</v>
      </c>
      <c r="G303" s="32">
        <v>1.4999999999999999E-2</v>
      </c>
      <c r="H303" s="22">
        <f t="shared" si="308"/>
        <v>12254095</v>
      </c>
      <c r="I303" s="32">
        <v>0.02</v>
      </c>
      <c r="J303" s="22">
        <f>+(F303*I303)+F303</f>
        <v>12314460</v>
      </c>
      <c r="K303" s="63">
        <v>0</v>
      </c>
      <c r="L303" s="22">
        <v>0</v>
      </c>
      <c r="M303" s="63">
        <v>0</v>
      </c>
      <c r="N303" s="22">
        <v>0</v>
      </c>
      <c r="O303" s="22">
        <f t="shared" si="309"/>
        <v>0</v>
      </c>
      <c r="P303" s="22">
        <f t="shared" si="310"/>
        <v>0</v>
      </c>
      <c r="Q303" s="61">
        <f t="shared" si="311"/>
        <v>0</v>
      </c>
      <c r="R303" s="61">
        <f t="shared" si="312"/>
        <v>0</v>
      </c>
      <c r="S303" s="61">
        <f t="shared" si="313"/>
        <v>0</v>
      </c>
      <c r="T303" s="61">
        <f t="shared" si="314"/>
        <v>0</v>
      </c>
      <c r="U303" s="61">
        <f t="shared" si="315"/>
        <v>0</v>
      </c>
      <c r="V303" s="61">
        <f t="shared" si="316"/>
        <v>0</v>
      </c>
      <c r="X303" s="107"/>
      <c r="Y303" s="107"/>
      <c r="Z303" s="108"/>
      <c r="AA303" s="108"/>
    </row>
    <row r="304" spans="2:27" x14ac:dyDescent="0.2">
      <c r="B304" s="30" t="s">
        <v>200</v>
      </c>
      <c r="C304" s="6">
        <v>40</v>
      </c>
      <c r="D304" s="22">
        <v>12176000</v>
      </c>
      <c r="E304" s="32">
        <v>5.5E-2</v>
      </c>
      <c r="F304" s="22">
        <f t="shared" si="307"/>
        <v>12846000</v>
      </c>
      <c r="G304" s="32">
        <v>1.4999999999999999E-2</v>
      </c>
      <c r="H304" s="22">
        <f t="shared" si="308"/>
        <v>13038690</v>
      </c>
      <c r="I304" s="32">
        <v>0.02</v>
      </c>
      <c r="J304" s="22">
        <f t="shared" ref="J304" si="318">+(F304*I304)+F304</f>
        <v>13102920</v>
      </c>
      <c r="K304" s="63">
        <v>1</v>
      </c>
      <c r="L304" s="22">
        <v>12846000</v>
      </c>
      <c r="M304" s="63">
        <v>4</v>
      </c>
      <c r="N304" s="22">
        <v>51384000</v>
      </c>
      <c r="O304" s="22">
        <f t="shared" si="309"/>
        <v>64230000</v>
      </c>
      <c r="P304" s="22">
        <f t="shared" si="310"/>
        <v>12176303.317535546</v>
      </c>
      <c r="Q304" s="61">
        <f t="shared" si="311"/>
        <v>12733978.009478673</v>
      </c>
      <c r="R304" s="61">
        <f t="shared" si="312"/>
        <v>112021.99052132666</v>
      </c>
      <c r="S304" s="61">
        <f t="shared" si="313"/>
        <v>48705213.270142183</v>
      </c>
      <c r="T304" s="61">
        <f t="shared" si="314"/>
        <v>50935912.037914693</v>
      </c>
      <c r="U304" s="61">
        <f t="shared" si="315"/>
        <v>448087.96208530664</v>
      </c>
      <c r="V304" s="61">
        <f t="shared" si="316"/>
        <v>560109.95260663331</v>
      </c>
      <c r="X304" s="107"/>
      <c r="Y304" s="107"/>
      <c r="Z304" s="108"/>
      <c r="AA304" s="108"/>
    </row>
    <row r="305" spans="2:27" x14ac:dyDescent="0.2">
      <c r="B305" s="30" t="s">
        <v>201</v>
      </c>
      <c r="C305" s="6">
        <v>56</v>
      </c>
      <c r="D305" s="22">
        <v>12329000</v>
      </c>
      <c r="E305" s="32">
        <v>5.5E-2</v>
      </c>
      <c r="F305" s="22">
        <f t="shared" si="307"/>
        <v>13007000</v>
      </c>
      <c r="G305" s="32">
        <v>1.4999999999999999E-2</v>
      </c>
      <c r="H305" s="22">
        <f t="shared" si="308"/>
        <v>13202105</v>
      </c>
      <c r="I305" s="32">
        <v>0.02</v>
      </c>
      <c r="J305" s="22">
        <f>+(F305*I305)+F305</f>
        <v>13267140</v>
      </c>
      <c r="K305" s="63">
        <v>88</v>
      </c>
      <c r="L305" s="22">
        <v>1083077505</v>
      </c>
      <c r="M305" s="63">
        <v>78</v>
      </c>
      <c r="N305" s="22">
        <v>956728441</v>
      </c>
      <c r="O305" s="22">
        <f t="shared" si="309"/>
        <v>2039805946</v>
      </c>
      <c r="P305" s="22">
        <f t="shared" si="310"/>
        <v>1026613748.815166</v>
      </c>
      <c r="Q305" s="61">
        <f t="shared" si="311"/>
        <v>1073632658.5109006</v>
      </c>
      <c r="R305" s="61">
        <f t="shared" si="312"/>
        <v>9444846.4890993834</v>
      </c>
      <c r="S305" s="61">
        <f t="shared" si="313"/>
        <v>906851602.84360194</v>
      </c>
      <c r="T305" s="61">
        <f t="shared" si="314"/>
        <v>948385406.2538389</v>
      </c>
      <c r="U305" s="61">
        <f t="shared" si="315"/>
        <v>8343034.7461611032</v>
      </c>
      <c r="V305" s="61">
        <f t="shared" si="316"/>
        <v>17787881.235260487</v>
      </c>
      <c r="X305" s="107"/>
      <c r="Y305" s="107"/>
      <c r="Z305" s="108"/>
      <c r="AA305" s="108"/>
    </row>
    <row r="306" spans="2:27" x14ac:dyDescent="0.2">
      <c r="B306" s="30" t="s">
        <v>155</v>
      </c>
      <c r="C306" s="6">
        <v>45</v>
      </c>
      <c r="D306" s="22">
        <v>12176000</v>
      </c>
      <c r="E306" s="32">
        <v>5.5E-2</v>
      </c>
      <c r="F306" s="22">
        <f t="shared" si="307"/>
        <v>12846000</v>
      </c>
      <c r="G306" s="32">
        <v>1.4999999999999999E-2</v>
      </c>
      <c r="H306" s="22">
        <f t="shared" si="308"/>
        <v>13038690</v>
      </c>
      <c r="I306" s="32">
        <v>0.02</v>
      </c>
      <c r="J306" s="22">
        <f>+(F306*I306)+F306</f>
        <v>13102920</v>
      </c>
      <c r="K306" s="63">
        <v>4</v>
      </c>
      <c r="L306" s="22">
        <v>51384000</v>
      </c>
      <c r="M306" s="63">
        <v>7</v>
      </c>
      <c r="N306" s="22">
        <v>89922000</v>
      </c>
      <c r="O306" s="22">
        <f t="shared" si="309"/>
        <v>141306000</v>
      </c>
      <c r="P306" s="22">
        <f t="shared" si="310"/>
        <v>48705213.270142183</v>
      </c>
      <c r="Q306" s="61">
        <f t="shared" si="311"/>
        <v>50935912.037914693</v>
      </c>
      <c r="R306" s="61">
        <f t="shared" si="312"/>
        <v>448087.96208530664</v>
      </c>
      <c r="S306" s="61">
        <f t="shared" si="313"/>
        <v>85234123.222748816</v>
      </c>
      <c r="T306" s="61">
        <f t="shared" si="314"/>
        <v>89137846.066350713</v>
      </c>
      <c r="U306" s="61">
        <f t="shared" si="315"/>
        <v>784153.93364928663</v>
      </c>
      <c r="V306" s="61">
        <f t="shared" si="316"/>
        <v>1232241.8957345933</v>
      </c>
      <c r="X306" s="107"/>
      <c r="Y306" s="107"/>
      <c r="Z306" s="108"/>
      <c r="AA306" s="108"/>
    </row>
    <row r="307" spans="2:27" x14ac:dyDescent="0.2">
      <c r="B307" s="30" t="s">
        <v>367</v>
      </c>
      <c r="C307" s="6">
        <v>45</v>
      </c>
      <c r="D307" s="22">
        <v>11444000</v>
      </c>
      <c r="E307" s="32">
        <v>5.5E-2</v>
      </c>
      <c r="F307" s="22">
        <f t="shared" si="307"/>
        <v>12073000</v>
      </c>
      <c r="G307" s="32">
        <v>1.4999999999999999E-2</v>
      </c>
      <c r="H307" s="22">
        <f t="shared" si="308"/>
        <v>12254095</v>
      </c>
      <c r="I307" s="32">
        <v>0.02</v>
      </c>
      <c r="J307" s="22">
        <f t="shared" ref="J307" si="319">+(F307*I307)+F307</f>
        <v>12314460</v>
      </c>
      <c r="K307" s="63">
        <v>22</v>
      </c>
      <c r="L307" s="22">
        <v>260293880</v>
      </c>
      <c r="M307" s="63">
        <v>18</v>
      </c>
      <c r="N307" s="22">
        <v>212967720</v>
      </c>
      <c r="O307" s="22">
        <f t="shared" si="309"/>
        <v>473261600</v>
      </c>
      <c r="P307" s="22">
        <f t="shared" si="310"/>
        <v>246724056.87203792</v>
      </c>
      <c r="Q307" s="61">
        <f t="shared" si="311"/>
        <v>258024018.67677724</v>
      </c>
      <c r="R307" s="61">
        <f t="shared" si="312"/>
        <v>2269861.3232227564</v>
      </c>
      <c r="S307" s="61">
        <f t="shared" si="313"/>
        <v>201865137.44075832</v>
      </c>
      <c r="T307" s="61">
        <f t="shared" si="314"/>
        <v>211110560.73554504</v>
      </c>
      <c r="U307" s="61">
        <f t="shared" si="315"/>
        <v>1857159.2644549608</v>
      </c>
      <c r="V307" s="61">
        <f t="shared" si="316"/>
        <v>4127020.5876777172</v>
      </c>
      <c r="X307" s="107"/>
      <c r="Y307" s="107"/>
      <c r="Z307" s="108"/>
      <c r="AA307" s="108"/>
    </row>
    <row r="308" spans="2:27" x14ac:dyDescent="0.2">
      <c r="B308" s="33" t="s">
        <v>224</v>
      </c>
      <c r="C308" s="6"/>
      <c r="D308" s="31"/>
      <c r="E308" s="32"/>
      <c r="F308" s="31"/>
      <c r="G308" s="6"/>
      <c r="H308" s="61"/>
      <c r="I308" s="6"/>
      <c r="J308" s="61"/>
      <c r="K308" s="34"/>
      <c r="L308" s="34"/>
      <c r="M308" s="63"/>
      <c r="N308" s="223"/>
      <c r="O308" s="22"/>
      <c r="P308" s="61"/>
      <c r="Q308" s="61"/>
      <c r="R308" s="61"/>
      <c r="S308" s="61"/>
      <c r="T308" s="61"/>
      <c r="U308" s="61"/>
      <c r="V308" s="62"/>
      <c r="X308" s="107"/>
      <c r="Y308" s="107"/>
      <c r="Z308" s="108"/>
      <c r="AA308" s="108"/>
    </row>
    <row r="309" spans="2:27" x14ac:dyDescent="0.2">
      <c r="B309" s="30" t="s">
        <v>158</v>
      </c>
      <c r="C309" s="6">
        <v>40</v>
      </c>
      <c r="D309" s="22">
        <v>7589000</v>
      </c>
      <c r="E309" s="32">
        <v>5.5E-2</v>
      </c>
      <c r="F309" s="22">
        <f t="shared" ref="F309:F312" si="320">+ROUND((D309*E309)+D309,-3)</f>
        <v>8006000</v>
      </c>
      <c r="G309" s="32">
        <v>1.4999999999999999E-2</v>
      </c>
      <c r="H309" s="22">
        <f t="shared" ref="H309:H312" si="321">+(F309*G309)+F309</f>
        <v>8126090</v>
      </c>
      <c r="I309" s="32">
        <v>0.02</v>
      </c>
      <c r="J309" s="22">
        <f>+(F309*I309)+F309</f>
        <v>8166120</v>
      </c>
      <c r="K309" s="63">
        <v>35</v>
      </c>
      <c r="L309" s="22">
        <v>200210000</v>
      </c>
      <c r="M309" s="63">
        <v>29</v>
      </c>
      <c r="N309" s="22">
        <v>151574000</v>
      </c>
      <c r="O309" s="22">
        <f>L309+N309</f>
        <v>351784000</v>
      </c>
      <c r="P309" s="22">
        <f>L309/(1+E309)</f>
        <v>189772511.84834126</v>
      </c>
      <c r="Q309" s="61">
        <f>(P309*$Q$8)+P309</f>
        <v>198464092.89099529</v>
      </c>
      <c r="R309" s="61">
        <f>L309-Q309</f>
        <v>1745907.1090047061</v>
      </c>
      <c r="S309" s="61">
        <f>N309/(1+E309)</f>
        <v>143672037.91469195</v>
      </c>
      <c r="T309" s="61">
        <f t="shared" ref="T309:T312" si="322">(S309*$T$8)+S309</f>
        <v>150252217.25118485</v>
      </c>
      <c r="U309" s="61">
        <f>N309-T309</f>
        <v>1321782.7488151491</v>
      </c>
      <c r="V309" s="61">
        <f t="shared" ref="V309:V312" si="323">R309+U309</f>
        <v>3067689.8578198552</v>
      </c>
      <c r="X309" s="107"/>
      <c r="Y309" s="107"/>
      <c r="Z309" s="108"/>
      <c r="AA309" s="108"/>
    </row>
    <row r="310" spans="2:27" x14ac:dyDescent="0.2">
      <c r="B310" s="30" t="s">
        <v>159</v>
      </c>
      <c r="C310" s="6">
        <v>115</v>
      </c>
      <c r="D310" s="22">
        <v>9276000</v>
      </c>
      <c r="E310" s="32">
        <v>5.5E-2</v>
      </c>
      <c r="F310" s="22">
        <f t="shared" si="320"/>
        <v>9786000</v>
      </c>
      <c r="G310" s="32">
        <v>1.4999999999999999E-2</v>
      </c>
      <c r="H310" s="22">
        <f t="shared" si="321"/>
        <v>9932790</v>
      </c>
      <c r="I310" s="32">
        <v>0.02</v>
      </c>
      <c r="J310" s="22">
        <f>+(F310*I310)+F310</f>
        <v>9981720</v>
      </c>
      <c r="K310" s="63">
        <v>14</v>
      </c>
      <c r="L310" s="22">
        <v>102504000</v>
      </c>
      <c r="M310" s="63">
        <v>14</v>
      </c>
      <c r="N310" s="22">
        <v>110204000</v>
      </c>
      <c r="O310" s="22">
        <f>L310+N310</f>
        <v>212708000</v>
      </c>
      <c r="P310" s="22">
        <f>L310/(1+E310)</f>
        <v>97160189.573459715</v>
      </c>
      <c r="Q310" s="61">
        <f>(P310*$Q$8)+P310</f>
        <v>101610126.25592417</v>
      </c>
      <c r="R310" s="61">
        <f>L310-Q310</f>
        <v>893873.74407583475</v>
      </c>
      <c r="S310" s="61">
        <f>N310/(1+E310)</f>
        <v>104458767.77251185</v>
      </c>
      <c r="T310" s="61">
        <f t="shared" si="322"/>
        <v>109242979.3364929</v>
      </c>
      <c r="U310" s="61">
        <f>N310-T310</f>
        <v>961020.66350710392</v>
      </c>
      <c r="V310" s="61">
        <f t="shared" si="323"/>
        <v>1854894.4075829387</v>
      </c>
      <c r="X310" s="107"/>
      <c r="Y310" s="107"/>
      <c r="Z310" s="108"/>
      <c r="AA310" s="108"/>
    </row>
    <row r="311" spans="2:27" x14ac:dyDescent="0.2">
      <c r="B311" s="30" t="s">
        <v>344</v>
      </c>
      <c r="C311" s="6">
        <v>50</v>
      </c>
      <c r="D311" s="22">
        <v>7589000</v>
      </c>
      <c r="E311" s="32">
        <v>5.5E-2</v>
      </c>
      <c r="F311" s="22">
        <f t="shared" si="320"/>
        <v>8006000</v>
      </c>
      <c r="G311" s="32">
        <v>1.4999999999999999E-2</v>
      </c>
      <c r="H311" s="22">
        <f t="shared" si="321"/>
        <v>8126090</v>
      </c>
      <c r="I311" s="32">
        <v>0.02</v>
      </c>
      <c r="J311" s="22">
        <f t="shared" ref="J311:J312" si="324">+(F311*I311)+F311</f>
        <v>8166120</v>
      </c>
      <c r="K311" s="63">
        <v>1</v>
      </c>
      <c r="L311" s="22">
        <v>8006000</v>
      </c>
      <c r="M311" s="63">
        <v>1</v>
      </c>
      <c r="N311" s="22">
        <v>8006000</v>
      </c>
      <c r="O311" s="22">
        <f>L311+N311</f>
        <v>16012000</v>
      </c>
      <c r="P311" s="22">
        <f>L311/(1+E311)</f>
        <v>7588625.5924170623</v>
      </c>
      <c r="Q311" s="61">
        <f>(P311*$Q$8)+P311</f>
        <v>7936184.6445497638</v>
      </c>
      <c r="R311" s="61">
        <f>L311-Q311</f>
        <v>69815.355450236239</v>
      </c>
      <c r="S311" s="61">
        <f>N311/(1+E311)</f>
        <v>7588625.5924170623</v>
      </c>
      <c r="T311" s="61">
        <f t="shared" si="322"/>
        <v>7936184.6445497638</v>
      </c>
      <c r="U311" s="61">
        <f>N311-T311</f>
        <v>69815.355450236239</v>
      </c>
      <c r="V311" s="61">
        <f t="shared" si="323"/>
        <v>139630.71090047248</v>
      </c>
      <c r="X311" s="107"/>
      <c r="Y311" s="107"/>
      <c r="Z311" s="108"/>
      <c r="AA311" s="108"/>
    </row>
    <row r="312" spans="2:27" x14ac:dyDescent="0.2">
      <c r="B312" s="30" t="s">
        <v>345</v>
      </c>
      <c r="C312" s="6">
        <v>115</v>
      </c>
      <c r="D312" s="22">
        <v>9276000</v>
      </c>
      <c r="E312" s="32">
        <v>5.5E-2</v>
      </c>
      <c r="F312" s="22">
        <f t="shared" si="320"/>
        <v>9786000</v>
      </c>
      <c r="G312" s="32">
        <v>1.4999999999999999E-2</v>
      </c>
      <c r="H312" s="22">
        <f t="shared" si="321"/>
        <v>9932790</v>
      </c>
      <c r="I312" s="32">
        <v>0.02</v>
      </c>
      <c r="J312" s="22">
        <f t="shared" si="324"/>
        <v>9981720</v>
      </c>
      <c r="K312" s="63">
        <v>0</v>
      </c>
      <c r="L312" s="22">
        <v>0</v>
      </c>
      <c r="M312" s="63">
        <v>0</v>
      </c>
      <c r="N312" s="22">
        <v>0</v>
      </c>
      <c r="O312" s="22">
        <f>L312+N312</f>
        <v>0</v>
      </c>
      <c r="P312" s="22">
        <f>L312/(1+E312)</f>
        <v>0</v>
      </c>
      <c r="Q312" s="61">
        <f>(P312*$Q$8)+P312</f>
        <v>0</v>
      </c>
      <c r="R312" s="61">
        <f>L312-Q312</f>
        <v>0</v>
      </c>
      <c r="S312" s="61">
        <f>N312/(1+E312)</f>
        <v>0</v>
      </c>
      <c r="T312" s="61">
        <f t="shared" si="322"/>
        <v>0</v>
      </c>
      <c r="U312" s="61">
        <f>N312-T312</f>
        <v>0</v>
      </c>
      <c r="V312" s="61">
        <f t="shared" si="323"/>
        <v>0</v>
      </c>
      <c r="X312" s="107"/>
      <c r="Y312" s="107"/>
      <c r="Z312" s="108"/>
      <c r="AA312" s="108"/>
    </row>
    <row r="313" spans="2:27" x14ac:dyDescent="0.2">
      <c r="B313" s="33" t="s">
        <v>77</v>
      </c>
      <c r="C313" s="6"/>
      <c r="D313" s="31"/>
      <c r="E313" s="32"/>
      <c r="F313" s="31"/>
      <c r="G313" s="6"/>
      <c r="H313" s="61"/>
      <c r="I313" s="6"/>
      <c r="J313" s="61"/>
      <c r="K313" s="34"/>
      <c r="L313" s="34"/>
      <c r="M313" s="63"/>
      <c r="N313" s="223"/>
      <c r="O313" s="22"/>
      <c r="P313" s="61"/>
      <c r="Q313" s="61"/>
      <c r="R313" s="61"/>
      <c r="S313" s="61"/>
      <c r="T313" s="61"/>
      <c r="U313" s="61"/>
      <c r="V313" s="62"/>
      <c r="X313" s="107"/>
      <c r="Y313" s="107"/>
      <c r="Z313" s="108"/>
      <c r="AA313" s="108"/>
    </row>
    <row r="314" spans="2:27" x14ac:dyDescent="0.2">
      <c r="B314" s="30" t="s">
        <v>160</v>
      </c>
      <c r="C314" s="6">
        <v>41</v>
      </c>
      <c r="D314" s="22">
        <v>8906000</v>
      </c>
      <c r="E314" s="32">
        <v>5.5E-2</v>
      </c>
      <c r="F314" s="22">
        <f>+ROUND((D314*E314)+D314,-3)</f>
        <v>9396000</v>
      </c>
      <c r="G314" s="32">
        <v>1.4999999999999999E-2</v>
      </c>
      <c r="H314" s="22">
        <f>+(F314*G314)+F314</f>
        <v>9536940</v>
      </c>
      <c r="I314" s="32">
        <v>0.02</v>
      </c>
      <c r="J314" s="22">
        <f>+(F314*I314)+F314</f>
        <v>9583920</v>
      </c>
      <c r="K314" s="63">
        <v>75</v>
      </c>
      <c r="L314" s="22">
        <v>640807200</v>
      </c>
      <c r="M314" s="63">
        <v>79</v>
      </c>
      <c r="N314" s="22">
        <v>685908000</v>
      </c>
      <c r="O314" s="22">
        <f>L314+N314</f>
        <v>1326715200</v>
      </c>
      <c r="P314" s="22">
        <f>L314/(1+E314)</f>
        <v>607400189.57345974</v>
      </c>
      <c r="Q314" s="61">
        <f>(P314*$Q$8)+P314</f>
        <v>635219118.25592422</v>
      </c>
      <c r="R314" s="61">
        <f>L314-Q314</f>
        <v>5588081.7440757751</v>
      </c>
      <c r="S314" s="61">
        <f>N314/(1+E314)</f>
        <v>650149763.03317535</v>
      </c>
      <c r="T314" s="61">
        <f t="shared" ref="T314:T317" si="325">(S314*$T$8)+S314</f>
        <v>679926622.18009484</v>
      </c>
      <c r="U314" s="61">
        <f>N314-T314</f>
        <v>5981377.8199051619</v>
      </c>
      <c r="V314" s="61">
        <f t="shared" ref="V314:V317" si="326">R314+U314</f>
        <v>11569459.563980937</v>
      </c>
      <c r="X314" s="107"/>
      <c r="Y314" s="107"/>
      <c r="Z314" s="108"/>
      <c r="AA314" s="108"/>
    </row>
    <row r="315" spans="2:27" x14ac:dyDescent="0.2">
      <c r="B315" s="30" t="s">
        <v>412</v>
      </c>
      <c r="C315" s="6">
        <v>26</v>
      </c>
      <c r="D315" s="22">
        <v>4200000</v>
      </c>
      <c r="E315" s="32">
        <v>5.5E-2</v>
      </c>
      <c r="F315" s="22">
        <f t="shared" ref="F315:F316" si="327">+ROUND((D315*E315)+D315,-3)</f>
        <v>4431000</v>
      </c>
      <c r="G315" s="32">
        <v>1.4999999999999999E-2</v>
      </c>
      <c r="H315" s="22">
        <f t="shared" ref="H315:H316" si="328">+(F315*G315)+F315</f>
        <v>4497465</v>
      </c>
      <c r="I315" s="32"/>
      <c r="J315" s="22"/>
      <c r="K315" s="63">
        <v>81</v>
      </c>
      <c r="L315" s="22">
        <v>349162800</v>
      </c>
      <c r="M315" s="63">
        <v>59</v>
      </c>
      <c r="N315" s="22">
        <v>260542800</v>
      </c>
      <c r="O315" s="22">
        <f>L315+N315</f>
        <v>609705600</v>
      </c>
      <c r="P315" s="22">
        <f>L315/(1+E315)</f>
        <v>330960000</v>
      </c>
      <c r="Q315" s="61">
        <f>(P315*$Q$8)+P315</f>
        <v>346117968</v>
      </c>
      <c r="R315" s="61">
        <f>L315-Q315</f>
        <v>3044832</v>
      </c>
      <c r="S315" s="61">
        <f>N315/(1+E315)</f>
        <v>246960000</v>
      </c>
      <c r="T315" s="61">
        <f t="shared" si="325"/>
        <v>258270768</v>
      </c>
      <c r="U315" s="61">
        <f>N315-T315</f>
        <v>2272032</v>
      </c>
      <c r="V315" s="61">
        <f t="shared" si="326"/>
        <v>5316864</v>
      </c>
      <c r="X315" s="107"/>
      <c r="Y315" s="107"/>
      <c r="Z315" s="108"/>
      <c r="AA315" s="108"/>
    </row>
    <row r="316" spans="2:27" x14ac:dyDescent="0.2">
      <c r="B316" s="30" t="s">
        <v>413</v>
      </c>
      <c r="C316" s="6">
        <v>41</v>
      </c>
      <c r="D316" s="22">
        <v>5040000</v>
      </c>
      <c r="E316" s="32">
        <v>5.5E-2</v>
      </c>
      <c r="F316" s="22">
        <f t="shared" si="327"/>
        <v>5317000</v>
      </c>
      <c r="G316" s="32">
        <v>1.4999999999999999E-2</v>
      </c>
      <c r="H316" s="22">
        <f t="shared" si="328"/>
        <v>5396755</v>
      </c>
      <c r="I316" s="32">
        <v>0.02</v>
      </c>
      <c r="J316" s="22">
        <f t="shared" ref="J316" si="329">+(F316*I316)+F316</f>
        <v>5423340</v>
      </c>
      <c r="K316" s="63">
        <v>227</v>
      </c>
      <c r="L316" s="22">
        <v>1130660050</v>
      </c>
      <c r="M316" s="63">
        <v>222</v>
      </c>
      <c r="N316" s="22">
        <v>1120823600</v>
      </c>
      <c r="O316" s="22">
        <f>L316+N316</f>
        <v>2251483650</v>
      </c>
      <c r="P316" s="22">
        <f>L316/(1+E316)</f>
        <v>1071715687.2037915</v>
      </c>
      <c r="Q316" s="61">
        <f>(P316*$Q$8)+P316</f>
        <v>1120800265.6777251</v>
      </c>
      <c r="R316" s="61">
        <f>L316-Q316</f>
        <v>9859784.3222749233</v>
      </c>
      <c r="S316" s="61">
        <f>N316/(1+E316)</f>
        <v>1062392037.914692</v>
      </c>
      <c r="T316" s="61">
        <f t="shared" si="325"/>
        <v>1111049593.2511849</v>
      </c>
      <c r="U316" s="61">
        <f>N316-T316</f>
        <v>9774006.7488150597</v>
      </c>
      <c r="V316" s="61">
        <f t="shared" si="326"/>
        <v>19633791.071089983</v>
      </c>
      <c r="X316" s="107"/>
      <c r="Y316" s="107"/>
      <c r="Z316" s="108"/>
      <c r="AA316" s="108"/>
    </row>
    <row r="317" spans="2:27" x14ac:dyDescent="0.2">
      <c r="B317" s="30" t="s">
        <v>528</v>
      </c>
      <c r="C317" s="6">
        <v>44</v>
      </c>
      <c r="D317" s="22">
        <v>8906000</v>
      </c>
      <c r="E317" s="32">
        <v>5.5E-2</v>
      </c>
      <c r="F317" s="22">
        <f t="shared" ref="F317" si="330">+ROUND((D317*E317)+D317,-3)</f>
        <v>9396000</v>
      </c>
      <c r="G317" s="32">
        <v>1.4999999999999999E-2</v>
      </c>
      <c r="H317" s="22">
        <f t="shared" ref="H317" si="331">+(F317*G317)+F317</f>
        <v>9536940</v>
      </c>
      <c r="I317" s="32">
        <v>0.02</v>
      </c>
      <c r="J317" s="22">
        <f t="shared" ref="J317" si="332">+(F317*I317)+F317</f>
        <v>9583920</v>
      </c>
      <c r="K317" s="63">
        <v>20</v>
      </c>
      <c r="L317" s="22">
        <v>155034000</v>
      </c>
      <c r="M317" s="63">
        <v>40</v>
      </c>
      <c r="N317" s="22">
        <v>333558000</v>
      </c>
      <c r="O317" s="22">
        <f>L317+N317</f>
        <v>488592000</v>
      </c>
      <c r="P317" s="22">
        <f>L317/(1+E317)</f>
        <v>146951658.76777253</v>
      </c>
      <c r="Q317" s="61">
        <f>(P317*$Q$8)+P317</f>
        <v>153682044.73933652</v>
      </c>
      <c r="R317" s="61">
        <f>L317-Q317</f>
        <v>1351955.2606634796</v>
      </c>
      <c r="S317" s="61">
        <f>N317/(1+E317)</f>
        <v>316168720.37914693</v>
      </c>
      <c r="T317" s="61">
        <f t="shared" si="325"/>
        <v>330649247.77251184</v>
      </c>
      <c r="U317" s="61">
        <f>N317-T317</f>
        <v>2908752.2274881601</v>
      </c>
      <c r="V317" s="61">
        <f t="shared" si="326"/>
        <v>4260707.4881516397</v>
      </c>
      <c r="X317" s="107"/>
      <c r="Y317" s="107"/>
      <c r="Z317" s="108"/>
      <c r="AA317" s="108"/>
    </row>
    <row r="318" spans="2:27" x14ac:dyDescent="0.2">
      <c r="B318" s="33" t="s">
        <v>414</v>
      </c>
      <c r="C318" s="6"/>
      <c r="D318" s="22"/>
      <c r="E318" s="50"/>
      <c r="F318" s="22"/>
      <c r="G318" s="32"/>
      <c r="H318" s="22"/>
      <c r="I318" s="32"/>
      <c r="J318" s="22"/>
      <c r="K318" s="63"/>
      <c r="L318" s="63"/>
      <c r="M318" s="63"/>
      <c r="N318" s="22"/>
      <c r="O318" s="22"/>
      <c r="P318" s="22"/>
      <c r="Q318" s="61"/>
      <c r="R318" s="61"/>
      <c r="S318" s="61"/>
      <c r="T318" s="61"/>
      <c r="U318" s="61"/>
      <c r="V318" s="110"/>
      <c r="X318" s="107"/>
      <c r="Y318" s="107"/>
      <c r="Z318" s="108"/>
      <c r="AA318" s="108"/>
    </row>
    <row r="319" spans="2:27" x14ac:dyDescent="0.2">
      <c r="B319" s="30" t="s">
        <v>577</v>
      </c>
      <c r="C319" s="6">
        <v>40</v>
      </c>
      <c r="D319" s="22">
        <v>6000000</v>
      </c>
      <c r="E319" s="32">
        <v>5.5E-2</v>
      </c>
      <c r="F319" s="22">
        <f t="shared" ref="F319" si="333">+ROUND((D319*E319)+D319,-3)</f>
        <v>6330000</v>
      </c>
      <c r="G319" s="32">
        <v>1.4999999999999999E-2</v>
      </c>
      <c r="H319" s="22">
        <f t="shared" ref="H319" si="334">+(F319*G319)+F319</f>
        <v>6424950</v>
      </c>
      <c r="I319" s="32">
        <v>0.02</v>
      </c>
      <c r="J319" s="22">
        <f t="shared" ref="J319" si="335">+(F319*I319)+F319</f>
        <v>6456600</v>
      </c>
      <c r="K319" s="63">
        <v>27</v>
      </c>
      <c r="L319" s="22">
        <v>170910000</v>
      </c>
      <c r="M319" s="63">
        <v>37</v>
      </c>
      <c r="N319" s="22">
        <v>234210000</v>
      </c>
      <c r="O319" s="22">
        <f>L319+N319</f>
        <v>405120000</v>
      </c>
      <c r="P319" s="22">
        <f>L319/(1+E319)</f>
        <v>162000000</v>
      </c>
      <c r="Q319" s="61">
        <f>(P319*$Q$8)+P319</f>
        <v>169419600</v>
      </c>
      <c r="R319" s="61">
        <f>L319-Q319</f>
        <v>1490400</v>
      </c>
      <c r="S319" s="61">
        <f>N319/(1+E319)</f>
        <v>222000000</v>
      </c>
      <c r="T319" s="61">
        <f>(S319*$T$8)+S319</f>
        <v>232167600</v>
      </c>
      <c r="U319" s="61">
        <f>N319-T319</f>
        <v>2042400</v>
      </c>
      <c r="V319" s="61">
        <f>R319+U319</f>
        <v>3532800</v>
      </c>
      <c r="X319" s="107"/>
      <c r="Y319" s="107"/>
      <c r="Z319" s="108"/>
      <c r="AA319" s="108"/>
    </row>
    <row r="320" spans="2:27" x14ac:dyDescent="0.2">
      <c r="B320" s="33" t="s">
        <v>202</v>
      </c>
      <c r="C320" s="6"/>
      <c r="D320" s="31"/>
      <c r="E320" s="35"/>
      <c r="F320" s="31"/>
      <c r="G320" s="6"/>
      <c r="H320" s="61"/>
      <c r="I320" s="6"/>
      <c r="J320" s="61"/>
      <c r="K320" s="34"/>
      <c r="L320" s="34"/>
      <c r="M320" s="63"/>
      <c r="N320" s="223"/>
      <c r="O320" s="22"/>
      <c r="P320" s="61"/>
      <c r="Q320" s="61"/>
      <c r="R320" s="61"/>
      <c r="S320" s="61"/>
      <c r="T320" s="61"/>
      <c r="U320" s="61"/>
      <c r="V320" s="62"/>
      <c r="X320" s="107"/>
      <c r="Y320" s="107"/>
      <c r="Z320" s="108"/>
      <c r="AA320" s="108"/>
    </row>
    <row r="321" spans="2:27" ht="12" thickBot="1" x14ac:dyDescent="0.25">
      <c r="B321" s="226" t="s">
        <v>203</v>
      </c>
      <c r="C321" s="7">
        <v>53</v>
      </c>
      <c r="D321" s="22">
        <v>13245000</v>
      </c>
      <c r="E321" s="32">
        <v>5.5E-2</v>
      </c>
      <c r="F321" s="22">
        <f>+ROUND((D321*E321)+D321,-3)</f>
        <v>13973000</v>
      </c>
      <c r="G321" s="32">
        <v>1.4999999999999999E-2</v>
      </c>
      <c r="H321" s="22">
        <f t="shared" ref="H321" si="336">+(F321*G321)+F321</f>
        <v>14182595</v>
      </c>
      <c r="I321" s="32">
        <v>0.02</v>
      </c>
      <c r="J321" s="22">
        <f>+(F321*I321)+F321</f>
        <v>14252460</v>
      </c>
      <c r="K321" s="63">
        <v>45</v>
      </c>
      <c r="L321" s="22">
        <v>586866000</v>
      </c>
      <c r="M321" s="63">
        <v>40</v>
      </c>
      <c r="N321" s="22">
        <v>517001000</v>
      </c>
      <c r="O321" s="22">
        <f>L321+N321</f>
        <v>1103867000</v>
      </c>
      <c r="P321" s="22">
        <f>L321/(1+E321)</f>
        <v>556271090.04739344</v>
      </c>
      <c r="Q321" s="61">
        <f>(P321*$Q$8)+P321</f>
        <v>581748305.97156405</v>
      </c>
      <c r="R321" s="61">
        <f>L321-Q321</f>
        <v>5117694.0284359455</v>
      </c>
      <c r="S321" s="61">
        <f>N321/(1+E321)</f>
        <v>490048341.2322275</v>
      </c>
      <c r="T321" s="61">
        <f>(S321*$T$8)+S321</f>
        <v>512492555.26066351</v>
      </c>
      <c r="U321" s="61">
        <f>N321-T321</f>
        <v>4508444.7393364906</v>
      </c>
      <c r="V321" s="61">
        <f>R321+U321</f>
        <v>9626138.7677724361</v>
      </c>
      <c r="X321" s="107"/>
      <c r="Y321" s="107"/>
      <c r="Z321" s="108"/>
      <c r="AA321" s="108"/>
    </row>
    <row r="322" spans="2:27" ht="12" thickBot="1" x14ac:dyDescent="0.25">
      <c r="B322" s="86" t="s">
        <v>233</v>
      </c>
      <c r="C322" s="54"/>
      <c r="D322" s="199">
        <f>SUM(D93:D321)</f>
        <v>3052723000</v>
      </c>
      <c r="E322" s="87"/>
      <c r="F322" s="199">
        <f>SUM(F93:F321)</f>
        <v>3215263000</v>
      </c>
      <c r="G322" s="88"/>
      <c r="H322" s="199">
        <f>SUM(H93:H321)</f>
        <v>3256268080</v>
      </c>
      <c r="I322" s="54"/>
      <c r="J322" s="199">
        <f t="shared" ref="J322:V322" si="337">SUM(J93:J321)</f>
        <v>1706062200</v>
      </c>
      <c r="K322" s="200">
        <f t="shared" si="337"/>
        <v>4783</v>
      </c>
      <c r="L322" s="199">
        <f t="shared" si="337"/>
        <v>55085059089.666443</v>
      </c>
      <c r="M322" s="200">
        <f t="shared" si="337"/>
        <v>4697</v>
      </c>
      <c r="N322" s="199">
        <f t="shared" si="337"/>
        <v>52392577087.344963</v>
      </c>
      <c r="O322" s="199">
        <f t="shared" si="337"/>
        <v>107477636177.0114</v>
      </c>
      <c r="P322" s="201">
        <f t="shared" si="337"/>
        <v>52283732858.214638</v>
      </c>
      <c r="Q322" s="199">
        <f t="shared" si="337"/>
        <v>54678327823.12085</v>
      </c>
      <c r="R322" s="199">
        <f t="shared" si="337"/>
        <v>406731266.54557145</v>
      </c>
      <c r="S322" s="201">
        <f t="shared" si="337"/>
        <v>49704382722.83886</v>
      </c>
      <c r="T322" s="199">
        <f t="shared" si="337"/>
        <v>51980843451.54483</v>
      </c>
      <c r="U322" s="199">
        <f t="shared" si="337"/>
        <v>411733635.80011433</v>
      </c>
      <c r="V322" s="199">
        <f t="shared" si="337"/>
        <v>818464902.34568584</v>
      </c>
      <c r="X322" s="107"/>
      <c r="Y322" s="107"/>
      <c r="Z322" s="108"/>
      <c r="AA322" s="108"/>
    </row>
    <row r="323" spans="2:27" ht="12" thickBot="1" x14ac:dyDescent="0.25">
      <c r="B323" s="89" t="s">
        <v>234</v>
      </c>
      <c r="C323" s="55"/>
      <c r="D323" s="101"/>
      <c r="E323" s="90"/>
      <c r="F323" s="202">
        <f>SUMPRODUCT(F93:F321,E93:E321)/F322</f>
        <v>5.3334534375570522E-2</v>
      </c>
      <c r="G323" s="91"/>
      <c r="H323" s="92"/>
      <c r="I323" s="57"/>
      <c r="J323" s="57"/>
      <c r="K323" s="93"/>
      <c r="L323" s="94"/>
      <c r="M323" s="93"/>
      <c r="N323" s="94"/>
      <c r="O323" s="203">
        <f>SUMPRODUCT(O93:O321,E93:E321)/O322</f>
        <v>5.3885109821333897E-2</v>
      </c>
      <c r="P323" s="57"/>
      <c r="Q323" s="57"/>
      <c r="R323" s="57"/>
      <c r="S323" s="57"/>
      <c r="T323" s="57"/>
      <c r="U323" s="57"/>
      <c r="V323" s="95"/>
    </row>
    <row r="324" spans="2:27" ht="12" thickBot="1" x14ac:dyDescent="0.25">
      <c r="B324" s="96" t="s">
        <v>235</v>
      </c>
      <c r="C324" s="56"/>
      <c r="D324" s="98"/>
      <c r="E324" s="97"/>
      <c r="F324" s="98"/>
      <c r="G324" s="99"/>
      <c r="H324" s="100"/>
      <c r="I324" s="56"/>
      <c r="J324" s="56"/>
      <c r="K324" s="204">
        <f t="shared" ref="K324:V324" si="338">K322+K88</f>
        <v>20975</v>
      </c>
      <c r="L324" s="205">
        <f t="shared" si="338"/>
        <v>251582732064.66644</v>
      </c>
      <c r="M324" s="204">
        <f t="shared" si="338"/>
        <v>20605</v>
      </c>
      <c r="N324" s="205">
        <f t="shared" si="338"/>
        <v>245399884051.34497</v>
      </c>
      <c r="O324" s="205">
        <f t="shared" si="338"/>
        <v>496982616116.01141</v>
      </c>
      <c r="P324" s="205">
        <f t="shared" si="338"/>
        <v>238537451317.93027</v>
      </c>
      <c r="Q324" s="205">
        <f t="shared" si="338"/>
        <v>249462466588.29138</v>
      </c>
      <c r="R324" s="205">
        <f t="shared" si="338"/>
        <v>2120265476.3749437</v>
      </c>
      <c r="S324" s="205">
        <f t="shared" si="338"/>
        <v>232649697380.65881</v>
      </c>
      <c r="T324" s="205">
        <f t="shared" si="338"/>
        <v>243305053520.6929</v>
      </c>
      <c r="U324" s="205">
        <f t="shared" si="338"/>
        <v>2094830530.6520448</v>
      </c>
      <c r="V324" s="206">
        <f t="shared" si="338"/>
        <v>4215096007.026989</v>
      </c>
      <c r="X324" s="107"/>
      <c r="Y324" s="107"/>
      <c r="Z324" s="108"/>
      <c r="AA324" s="108"/>
    </row>
    <row r="325" spans="2:27" ht="12" thickBot="1" x14ac:dyDescent="0.25">
      <c r="B325" s="89" t="s">
        <v>236</v>
      </c>
      <c r="C325" s="57"/>
      <c r="D325" s="101"/>
      <c r="E325" s="90"/>
      <c r="F325" s="101"/>
      <c r="G325" s="91"/>
      <c r="H325" s="92"/>
      <c r="I325" s="57"/>
      <c r="J325" s="57"/>
      <c r="K325" s="57"/>
      <c r="L325" s="57"/>
      <c r="M325" s="57"/>
      <c r="N325" s="57"/>
      <c r="O325" s="203">
        <f>((O322*O323)+(O88*O89))/(O88+O322)</f>
        <v>5.4758893455999623E-2</v>
      </c>
      <c r="P325" s="57"/>
      <c r="Q325" s="57"/>
      <c r="R325" s="57"/>
      <c r="S325" s="57"/>
      <c r="T325" s="57"/>
      <c r="U325" s="57"/>
      <c r="V325" s="95"/>
    </row>
    <row r="327" spans="2:27" x14ac:dyDescent="0.2">
      <c r="B327" s="102" t="s">
        <v>237</v>
      </c>
    </row>
    <row r="328" spans="2:27" x14ac:dyDescent="0.2">
      <c r="B328" s="72" t="s">
        <v>370</v>
      </c>
    </row>
    <row r="329" spans="2:27" x14ac:dyDescent="0.2">
      <c r="O329" s="65"/>
    </row>
    <row r="331" spans="2:27" x14ac:dyDescent="0.2">
      <c r="G331" s="68"/>
      <c r="I331" s="68"/>
    </row>
  </sheetData>
  <hyperlinks>
    <hyperlink ref="A1" location="Contenido!A1" display="Volver al menú" xr:uid="{00000000-0004-0000-0300-000000000000}"/>
  </hyperlink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4"/>
  <sheetViews>
    <sheetView showGridLines="0" zoomScaleNormal="100" workbookViewId="0"/>
  </sheetViews>
  <sheetFormatPr baseColWidth="10" defaultColWidth="59.7109375" defaultRowHeight="12.75" x14ac:dyDescent="0.2"/>
  <cols>
    <col min="1" max="1" width="59.7109375" style="40"/>
    <col min="2" max="2" width="11.42578125" style="40" bestFit="1" customWidth="1"/>
    <col min="3" max="3" width="11.85546875" style="40" bestFit="1" customWidth="1"/>
    <col min="4" max="4" width="11.42578125" style="39" bestFit="1" customWidth="1"/>
    <col min="5" max="6" width="59.7109375" style="39"/>
    <col min="7" max="16384" width="59.7109375" style="40"/>
  </cols>
  <sheetData>
    <row r="1" spans="1:4" ht="15" x14ac:dyDescent="0.25">
      <c r="A1" s="208" t="s">
        <v>663</v>
      </c>
    </row>
    <row r="3" spans="1:4" x14ac:dyDescent="0.2">
      <c r="A3" s="213" t="s">
        <v>535</v>
      </c>
      <c r="B3" s="214" t="s">
        <v>415</v>
      </c>
      <c r="C3" s="214" t="s">
        <v>169</v>
      </c>
      <c r="D3" s="214" t="s">
        <v>534</v>
      </c>
    </row>
    <row r="4" spans="1:4" x14ac:dyDescent="0.2">
      <c r="A4" s="215" t="s">
        <v>536</v>
      </c>
      <c r="B4" s="216">
        <v>34000</v>
      </c>
      <c r="C4" s="210">
        <v>5.5E-2</v>
      </c>
      <c r="D4" s="217">
        <f t="shared" ref="D4:D13" si="0">+ROUND((B4*C4)+B4,-3)</f>
        <v>36000</v>
      </c>
    </row>
    <row r="5" spans="1:4" x14ac:dyDescent="0.2">
      <c r="A5" s="218" t="s">
        <v>537</v>
      </c>
      <c r="B5" s="209">
        <v>70000</v>
      </c>
      <c r="C5" s="210">
        <v>5.5E-2</v>
      </c>
      <c r="D5" s="211">
        <f t="shared" si="0"/>
        <v>74000</v>
      </c>
    </row>
    <row r="6" spans="1:4" x14ac:dyDescent="0.2">
      <c r="A6" s="218" t="s">
        <v>538</v>
      </c>
      <c r="B6" s="209">
        <v>36000</v>
      </c>
      <c r="C6" s="210">
        <v>5.5E-2</v>
      </c>
      <c r="D6" s="211">
        <f t="shared" si="0"/>
        <v>38000</v>
      </c>
    </row>
    <row r="7" spans="1:4" x14ac:dyDescent="0.2">
      <c r="A7" s="218" t="s">
        <v>161</v>
      </c>
      <c r="B7" s="209">
        <v>56000</v>
      </c>
      <c r="C7" s="210">
        <v>5.5E-2</v>
      </c>
      <c r="D7" s="211">
        <f t="shared" si="0"/>
        <v>59000</v>
      </c>
    </row>
    <row r="8" spans="1:4" x14ac:dyDescent="0.2">
      <c r="A8" s="218" t="s">
        <v>539</v>
      </c>
      <c r="B8" s="209">
        <v>612000</v>
      </c>
      <c r="C8" s="210">
        <v>0</v>
      </c>
      <c r="D8" s="219">
        <f t="shared" si="0"/>
        <v>612000</v>
      </c>
    </row>
    <row r="9" spans="1:4" x14ac:dyDescent="0.2">
      <c r="A9" s="215" t="s">
        <v>540</v>
      </c>
      <c r="B9" s="216">
        <v>189000</v>
      </c>
      <c r="C9" s="220">
        <v>0</v>
      </c>
      <c r="D9" s="217">
        <f t="shared" si="0"/>
        <v>189000</v>
      </c>
    </row>
    <row r="10" spans="1:4" x14ac:dyDescent="0.2">
      <c r="A10" s="218" t="s">
        <v>541</v>
      </c>
      <c r="B10" s="209">
        <v>189000</v>
      </c>
      <c r="C10" s="210">
        <v>0</v>
      </c>
      <c r="D10" s="211">
        <f t="shared" si="0"/>
        <v>189000</v>
      </c>
    </row>
    <row r="11" spans="1:4" x14ac:dyDescent="0.2">
      <c r="A11" s="215" t="s">
        <v>416</v>
      </c>
      <c r="B11" s="216">
        <v>98000</v>
      </c>
      <c r="C11" s="210">
        <v>0</v>
      </c>
      <c r="D11" s="217">
        <f t="shared" si="0"/>
        <v>98000</v>
      </c>
    </row>
    <row r="12" spans="1:4" x14ac:dyDescent="0.2">
      <c r="A12" s="215" t="s">
        <v>162</v>
      </c>
      <c r="B12" s="216">
        <v>390000</v>
      </c>
      <c r="C12" s="210">
        <v>5.5E-2</v>
      </c>
      <c r="D12" s="217">
        <f t="shared" si="0"/>
        <v>411000</v>
      </c>
    </row>
    <row r="13" spans="1:4" x14ac:dyDescent="0.2">
      <c r="A13" s="218" t="s">
        <v>542</v>
      </c>
      <c r="B13" s="209">
        <v>189000</v>
      </c>
      <c r="C13" s="210">
        <v>0</v>
      </c>
      <c r="D13" s="211">
        <f t="shared" si="0"/>
        <v>189000</v>
      </c>
    </row>
    <row r="14" spans="1:4" ht="25.5" x14ac:dyDescent="0.2">
      <c r="A14" s="215" t="s">
        <v>543</v>
      </c>
      <c r="B14" s="216">
        <v>54000</v>
      </c>
      <c r="C14" s="220" t="s">
        <v>544</v>
      </c>
      <c r="D14" s="217">
        <v>63000</v>
      </c>
    </row>
    <row r="15" spans="1:4" x14ac:dyDescent="0.2">
      <c r="A15" s="218" t="s">
        <v>545</v>
      </c>
      <c r="B15" s="209">
        <v>143000</v>
      </c>
      <c r="C15" s="210">
        <v>5.5E-2</v>
      </c>
      <c r="D15" s="211">
        <f>+ROUND((B15*C15)+B15,-3)</f>
        <v>151000</v>
      </c>
    </row>
    <row r="16" spans="1:4" ht="25.5" x14ac:dyDescent="0.2">
      <c r="A16" s="218" t="s">
        <v>163</v>
      </c>
      <c r="B16" s="209">
        <v>834000</v>
      </c>
      <c r="C16" s="210">
        <v>5.5E-2</v>
      </c>
      <c r="D16" s="211">
        <f>+ROUND((B16*C16)+B16,-3)</f>
        <v>880000</v>
      </c>
    </row>
    <row r="17" spans="1:4" ht="25.5" x14ac:dyDescent="0.2">
      <c r="A17" s="218" t="s">
        <v>164</v>
      </c>
      <c r="B17" s="209">
        <v>136000</v>
      </c>
      <c r="C17" s="210">
        <v>5.5E-2</v>
      </c>
      <c r="D17" s="211">
        <f>+ROUND((B17*C17)+B17,-3)</f>
        <v>143000</v>
      </c>
    </row>
    <row r="18" spans="1:4" x14ac:dyDescent="0.2">
      <c r="A18" s="218" t="s">
        <v>165</v>
      </c>
      <c r="B18" s="209">
        <v>50000</v>
      </c>
      <c r="C18" s="210">
        <v>5.5E-2</v>
      </c>
      <c r="D18" s="211">
        <f>+ROUND((B18*C18)+B18,-3)</f>
        <v>53000</v>
      </c>
    </row>
    <row r="19" spans="1:4" x14ac:dyDescent="0.2">
      <c r="A19" s="218" t="s">
        <v>546</v>
      </c>
      <c r="B19" s="209">
        <v>415000</v>
      </c>
      <c r="C19" s="210">
        <v>5.5E-2</v>
      </c>
      <c r="D19" s="211">
        <f>+ROUND((B19*C19)+B19,-3)</f>
        <v>438000</v>
      </c>
    </row>
    <row r="20" spans="1:4" x14ac:dyDescent="0.2">
      <c r="B20" s="209"/>
      <c r="C20" s="210"/>
      <c r="D20" s="211"/>
    </row>
    <row r="21" spans="1:4" x14ac:dyDescent="0.2">
      <c r="B21" s="39"/>
      <c r="C21" s="212"/>
    </row>
    <row r="22" spans="1:4" ht="25.5" x14ac:dyDescent="0.2">
      <c r="A22" s="213" t="s">
        <v>547</v>
      </c>
      <c r="B22" s="222" t="s">
        <v>415</v>
      </c>
      <c r="C22" s="222" t="s">
        <v>169</v>
      </c>
      <c r="D22" s="222" t="s">
        <v>534</v>
      </c>
    </row>
    <row r="23" spans="1:4" x14ac:dyDescent="0.2">
      <c r="A23" s="218" t="s">
        <v>548</v>
      </c>
      <c r="B23" s="209">
        <v>356000</v>
      </c>
      <c r="C23" s="210">
        <v>0</v>
      </c>
      <c r="D23" s="221">
        <f>+ROUND((B23*C23)+B23,-3)</f>
        <v>356000</v>
      </c>
    </row>
    <row r="24" spans="1:4" x14ac:dyDescent="0.2">
      <c r="A24" s="218" t="s">
        <v>545</v>
      </c>
      <c r="B24" s="209">
        <v>89000</v>
      </c>
      <c r="C24" s="210">
        <v>5.5E-2</v>
      </c>
      <c r="D24" s="211">
        <f>+ROUND((B24*C24)+B24,-3)</f>
        <v>94000</v>
      </c>
    </row>
  </sheetData>
  <hyperlinks>
    <hyperlink ref="A1" location="Contenido!A1" display="Volver al menú" xr:uid="{00000000-0004-0000-0400-000000000000}"/>
  </hyperlinks>
  <pageMargins left="0.75" right="0.75" top="1" bottom="1" header="0" footer="0"/>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Valor de los proyectos 2022</vt:lpstr>
      <vt:lpstr>Presupuesto 2022</vt:lpstr>
      <vt:lpstr>Valores matrículas 2021 - 2022</vt:lpstr>
      <vt:lpstr>Otros conceptos 2021 - 2022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Guarnizo Sánchez</dc:creator>
  <cp:lastModifiedBy>Pacho</cp:lastModifiedBy>
  <dcterms:created xsi:type="dcterms:W3CDTF">2015-11-22T13:47:05Z</dcterms:created>
  <dcterms:modified xsi:type="dcterms:W3CDTF">2021-12-14T14:36:41Z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